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E:\VPN Share\ACC9\1 - 2024 - 2025 ACC9 Files\"/>
    </mc:Choice>
  </mc:AlternateContent>
  <workbookProtection workbookAlgorithmName="SHA-512" workbookHashValue="FtawDziL6a0MYu1nRR24IxJXzZvnqLH4U7NTV3HYib3wRwr2I9UvZx+/sNIzKv4oCBQL+75oAp+R8lft2kS3ZA==" workbookSaltValue="eJLtcRmrdTz7EXPBgxhR/Q==" workbookSpinCount="100000" lockStructure="1"/>
  <bookViews>
    <workbookView xWindow="390" yWindow="390" windowWidth="28875" windowHeight="14715" tabRatio="836"/>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L97" i="15" l="1"/>
  <c r="N17" i="2"/>
  <c r="O17" i="2"/>
  <c r="N18" i="2"/>
  <c r="O18" i="2" s="1"/>
  <c r="N19" i="2"/>
  <c r="O19" i="2" s="1"/>
  <c r="N20" i="2"/>
  <c r="O20" i="2" s="1"/>
  <c r="N21" i="2"/>
  <c r="O21" i="2" s="1"/>
  <c r="N22" i="2"/>
  <c r="O22" i="2"/>
  <c r="N23" i="2"/>
  <c r="O23" i="2"/>
  <c r="N24" i="2"/>
  <c r="O24" i="2"/>
  <c r="N25" i="2"/>
  <c r="O25" i="2"/>
  <c r="N26" i="2"/>
  <c r="O26" i="2" s="1"/>
  <c r="N27" i="2"/>
  <c r="O27" i="2"/>
  <c r="N28" i="2"/>
  <c r="O28" i="2" s="1"/>
  <c r="N29" i="2"/>
  <c r="O29" i="2" s="1"/>
  <c r="N30" i="2"/>
  <c r="O30" i="2" s="1"/>
  <c r="N31" i="2"/>
  <c r="O31" i="2" s="1"/>
  <c r="N32" i="2"/>
  <c r="O32" i="2" s="1"/>
  <c r="N33" i="2"/>
  <c r="O33" i="2" s="1"/>
  <c r="N34" i="2"/>
  <c r="O34" i="2"/>
  <c r="N35" i="2"/>
  <c r="O35" i="2"/>
  <c r="N36" i="2"/>
  <c r="O36" i="2" s="1"/>
  <c r="N37" i="2"/>
  <c r="O37" i="2"/>
  <c r="N38" i="2"/>
  <c r="O38" i="2" s="1"/>
  <c r="N39" i="2"/>
  <c r="O39" i="2" s="1"/>
  <c r="N40" i="2"/>
  <c r="O40" i="2" s="1"/>
  <c r="N41" i="2"/>
  <c r="O41" i="2" s="1"/>
  <c r="N42" i="2"/>
  <c r="O42" i="2"/>
  <c r="N43" i="2"/>
  <c r="O43" i="2" s="1"/>
  <c r="N44" i="2"/>
  <c r="O44" i="2"/>
  <c r="N45" i="2"/>
  <c r="O45" i="2"/>
  <c r="N46" i="2"/>
  <c r="O46" i="2" s="1"/>
  <c r="N47" i="2"/>
  <c r="O47" i="2"/>
  <c r="N48" i="2"/>
  <c r="O48" i="2" s="1"/>
  <c r="N49" i="2"/>
  <c r="O49" i="2"/>
  <c r="N50" i="2"/>
  <c r="O50" i="2" s="1"/>
  <c r="N51" i="2"/>
  <c r="O51" i="2" s="1"/>
  <c r="N52" i="2"/>
  <c r="O52" i="2" s="1"/>
  <c r="N53" i="2"/>
  <c r="O53" i="2"/>
  <c r="N54" i="2"/>
  <c r="O54" i="2" s="1"/>
  <c r="N55" i="2"/>
  <c r="O55" i="2"/>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c r="N70" i="2"/>
  <c r="O70" i="2"/>
  <c r="N71" i="2"/>
  <c r="O71" i="2"/>
  <c r="N72" i="2"/>
  <c r="O72" i="2" s="1"/>
  <c r="N73" i="2"/>
  <c r="O73" i="2" s="1"/>
  <c r="N74" i="2"/>
  <c r="O74" i="2" s="1"/>
  <c r="N75" i="2"/>
  <c r="O75" i="2" s="1"/>
  <c r="N76" i="2"/>
  <c r="O76" i="2" s="1"/>
  <c r="N77" i="2"/>
  <c r="O77" i="2"/>
  <c r="N78" i="2"/>
  <c r="O78" i="2" s="1"/>
  <c r="N79" i="2"/>
  <c r="O79" i="2"/>
  <c r="N80" i="2"/>
  <c r="O80" i="2"/>
  <c r="N81" i="2"/>
  <c r="O81" i="2"/>
  <c r="N82" i="2"/>
  <c r="O82" i="2"/>
  <c r="N83" i="2"/>
  <c r="O83" i="2" s="1"/>
  <c r="N84" i="2"/>
  <c r="O84" i="2" s="1"/>
  <c r="N85" i="2"/>
  <c r="O85" i="2" s="1"/>
  <c r="N86" i="2"/>
  <c r="O86" i="2" s="1"/>
  <c r="N87" i="2"/>
  <c r="O87" i="2" s="1"/>
  <c r="N88" i="2"/>
  <c r="O88" i="2" s="1"/>
  <c r="N89" i="2"/>
  <c r="O89" i="2" s="1"/>
  <c r="N90" i="2"/>
  <c r="O90" i="2"/>
  <c r="N91" i="2"/>
  <c r="O91" i="2"/>
  <c r="N92" i="2"/>
  <c r="O92" i="2"/>
  <c r="N93" i="2"/>
  <c r="O93" i="2"/>
  <c r="N94" i="2"/>
  <c r="O94" i="2" s="1"/>
  <c r="N95" i="2"/>
  <c r="O95" i="2" s="1"/>
  <c r="N96" i="2"/>
  <c r="O96" i="2" s="1"/>
  <c r="N97" i="2"/>
  <c r="O97" i="2" s="1"/>
  <c r="N98" i="2"/>
  <c r="O98" i="2" s="1"/>
  <c r="N99" i="2"/>
  <c r="O99" i="2" s="1"/>
  <c r="N100" i="2"/>
  <c r="O100" i="2"/>
  <c r="N101" i="2"/>
  <c r="O101" i="2"/>
  <c r="N102" i="2"/>
  <c r="O102" i="2" s="1"/>
  <c r="N103" i="2"/>
  <c r="O103" i="2" s="1"/>
  <c r="N104" i="2"/>
  <c r="O104" i="2"/>
  <c r="N105" i="2"/>
  <c r="O105" i="2" s="1"/>
  <c r="N106" i="2"/>
  <c r="O106" i="2" s="1"/>
  <c r="N107" i="2"/>
  <c r="O107" i="2"/>
  <c r="N108" i="2"/>
  <c r="O108" i="2" s="1"/>
  <c r="N109" i="2"/>
  <c r="O109" i="2"/>
  <c r="N110" i="2"/>
  <c r="O110" i="2" s="1"/>
  <c r="N111" i="2"/>
  <c r="O111" i="2"/>
  <c r="N112" i="2"/>
  <c r="O112" i="2"/>
  <c r="N113" i="2"/>
  <c r="O113" i="2" s="1"/>
  <c r="N114" i="2"/>
  <c r="O114" i="2" s="1"/>
  <c r="N115" i="2"/>
  <c r="O115" i="2" s="1"/>
  <c r="N116" i="2"/>
  <c r="O116" i="2" s="1"/>
  <c r="N117" i="2"/>
  <c r="O117" i="2"/>
  <c r="N118" i="2"/>
  <c r="O118" i="2" s="1"/>
  <c r="N119" i="2"/>
  <c r="O119" i="2" s="1"/>
  <c r="N120" i="2"/>
  <c r="O120" i="2"/>
  <c r="N121" i="2"/>
  <c r="O121" i="2" s="1"/>
  <c r="N122" i="2"/>
  <c r="O122" i="2"/>
  <c r="N123" i="2"/>
  <c r="O123" i="2"/>
  <c r="N124" i="2"/>
  <c r="O124" i="2" s="1"/>
  <c r="N125" i="2"/>
  <c r="O125" i="2"/>
  <c r="N126" i="2"/>
  <c r="O126" i="2" s="1"/>
  <c r="N127" i="2"/>
  <c r="O127" i="2" s="1"/>
  <c r="N128" i="2"/>
  <c r="O128" i="2" s="1"/>
  <c r="N129" i="2"/>
  <c r="O129" i="2" s="1"/>
  <c r="N130" i="2"/>
  <c r="O130" i="2" s="1"/>
  <c r="N131" i="2"/>
  <c r="O131" i="2"/>
  <c r="N132" i="2"/>
  <c r="O132" i="2" s="1"/>
  <c r="N133" i="2"/>
  <c r="O133" i="2"/>
  <c r="N134" i="2"/>
  <c r="O134" i="2"/>
  <c r="N135" i="2"/>
  <c r="O135" i="2"/>
  <c r="N136" i="2"/>
  <c r="O136" i="2" s="1"/>
  <c r="N137" i="2"/>
  <c r="O137" i="2" s="1"/>
  <c r="N138" i="2"/>
  <c r="O138" i="2" s="1"/>
  <c r="N139" i="2"/>
  <c r="O139" i="2" s="1"/>
  <c r="N140" i="2"/>
  <c r="O140" i="2" s="1"/>
  <c r="N141" i="2"/>
  <c r="O141" i="2" s="1"/>
  <c r="N142" i="2"/>
  <c r="O142" i="2" s="1"/>
  <c r="N143" i="2"/>
  <c r="O143" i="2" s="1"/>
  <c r="N144" i="2"/>
  <c r="O144" i="2" s="1"/>
  <c r="N145" i="2"/>
  <c r="O145" i="2"/>
  <c r="N146" i="2"/>
  <c r="O146" i="2" s="1"/>
  <c r="N147" i="2"/>
  <c r="O147" i="2"/>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c r="N161" i="2"/>
  <c r="O161" i="2" s="1"/>
  <c r="N162" i="2"/>
  <c r="O162" i="2" s="1"/>
  <c r="N163" i="2"/>
  <c r="O163" i="2" s="1"/>
  <c r="N164" i="2"/>
  <c r="O164" i="2"/>
  <c r="N165" i="2"/>
  <c r="O165" i="2" s="1"/>
  <c r="N166" i="2"/>
  <c r="O166" i="2" s="1"/>
  <c r="N167" i="2"/>
  <c r="O167" i="2" s="1"/>
  <c r="N168" i="2"/>
  <c r="O168" i="2" s="1"/>
  <c r="N169" i="2"/>
  <c r="O169" i="2" s="1"/>
  <c r="N170" i="2"/>
  <c r="O170" i="2" s="1"/>
  <c r="N171" i="2"/>
  <c r="O171" i="2" s="1"/>
  <c r="N172" i="2"/>
  <c r="O172" i="2" s="1"/>
  <c r="N173" i="2"/>
  <c r="O173" i="2" s="1"/>
  <c r="N174" i="2"/>
  <c r="O174" i="2" s="1"/>
  <c r="N175" i="2"/>
  <c r="O175" i="2"/>
  <c r="N176" i="2"/>
  <c r="O176" i="2" s="1"/>
  <c r="N177" i="2"/>
  <c r="O177" i="2"/>
  <c r="N178" i="2"/>
  <c r="O178" i="2" s="1"/>
  <c r="N179" i="2"/>
  <c r="O179" i="2"/>
  <c r="N180" i="2"/>
  <c r="O180" i="2"/>
  <c r="N181" i="2"/>
  <c r="O181" i="2" s="1"/>
  <c r="N182" i="2"/>
  <c r="O182" i="2"/>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c r="N205" i="2"/>
  <c r="O205" i="2" s="1"/>
  <c r="N206" i="2"/>
  <c r="O206" i="2" s="1"/>
  <c r="N207" i="2"/>
  <c r="O207" i="2"/>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c r="N224" i="2"/>
  <c r="O224" i="2"/>
  <c r="N225" i="2"/>
  <c r="O225" i="2" s="1"/>
  <c r="N226" i="2"/>
  <c r="O226" i="2" s="1"/>
  <c r="N227" i="2"/>
  <c r="O227" i="2" s="1"/>
  <c r="N228" i="2"/>
  <c r="O228" i="2" s="1"/>
  <c r="N229" i="2"/>
  <c r="O229" i="2" s="1"/>
  <c r="N230" i="2"/>
  <c r="O230" i="2" s="1"/>
  <c r="N231" i="2"/>
  <c r="O231" i="2"/>
  <c r="N232" i="2"/>
  <c r="O232" i="2" s="1"/>
  <c r="N233" i="2"/>
  <c r="O233" i="2"/>
  <c r="N234" i="2"/>
  <c r="O234" i="2"/>
  <c r="N235" i="2"/>
  <c r="O235" i="2"/>
  <c r="N236" i="2"/>
  <c r="O236" i="2" s="1"/>
  <c r="N237" i="2"/>
  <c r="O237" i="2"/>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c r="N254" i="2"/>
  <c r="O254" i="2" s="1"/>
  <c r="N255" i="2"/>
  <c r="O255" i="2"/>
  <c r="N256" i="2"/>
  <c r="O256" i="2" s="1"/>
  <c r="N257" i="2"/>
  <c r="O257" i="2"/>
  <c r="N258" i="2"/>
  <c r="O258" i="2" s="1"/>
  <c r="N259" i="2"/>
  <c r="O259" i="2"/>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c r="N276" i="2"/>
  <c r="O276" i="2" s="1"/>
  <c r="N277" i="2"/>
  <c r="O277" i="2" s="1"/>
  <c r="N278" i="2"/>
  <c r="O278" i="2" s="1"/>
  <c r="N279" i="2"/>
  <c r="O279" i="2"/>
  <c r="N280" i="2"/>
  <c r="O280" i="2"/>
  <c r="N281" i="2"/>
  <c r="O281" i="2"/>
  <c r="N282" i="2"/>
  <c r="O282" i="2"/>
  <c r="N283" i="2"/>
  <c r="O283" i="2" s="1"/>
  <c r="N284" i="2"/>
  <c r="O284" i="2" s="1"/>
  <c r="N285" i="2"/>
  <c r="O285" i="2" s="1"/>
  <c r="N286" i="2"/>
  <c r="O286" i="2" s="1"/>
  <c r="N287" i="2"/>
  <c r="O287" i="2" s="1"/>
  <c r="N288" i="2"/>
  <c r="O288" i="2" s="1"/>
  <c r="N289" i="2"/>
  <c r="O289" i="2"/>
  <c r="N290" i="2"/>
  <c r="O290" i="2"/>
  <c r="N291" i="2"/>
  <c r="O291" i="2"/>
  <c r="N292" i="2"/>
  <c r="O292" i="2"/>
  <c r="N293" i="2"/>
  <c r="O293" i="2"/>
  <c r="N294" i="2"/>
  <c r="O294" i="2" s="1"/>
  <c r="N295" i="2"/>
  <c r="O295" i="2" s="1"/>
  <c r="N296" i="2"/>
  <c r="O296" i="2" s="1"/>
  <c r="N297" i="2"/>
  <c r="O297" i="2" s="1"/>
  <c r="N298" i="2"/>
  <c r="O298" i="2" s="1"/>
  <c r="N299" i="2"/>
  <c r="O299" i="2" s="1"/>
  <c r="N300" i="2"/>
  <c r="O300" i="2" s="1"/>
  <c r="N301" i="2"/>
  <c r="O301" i="2" s="1"/>
  <c r="N302" i="2"/>
  <c r="O302" i="2"/>
  <c r="N303" i="2"/>
  <c r="O303" i="2" s="1"/>
  <c r="N304" i="2"/>
  <c r="O304" i="2"/>
  <c r="N305" i="2"/>
  <c r="O305" i="2" s="1"/>
  <c r="N306" i="2"/>
  <c r="O306" i="2" s="1"/>
  <c r="N307" i="2"/>
  <c r="O307" i="2"/>
  <c r="N308" i="2"/>
  <c r="O308" i="2" s="1"/>
  <c r="N309" i="2"/>
  <c r="O309" i="2"/>
  <c r="N310" i="2"/>
  <c r="O310" i="2" s="1"/>
  <c r="N311" i="2"/>
  <c r="O311" i="2" s="1"/>
  <c r="N312" i="2"/>
  <c r="O312" i="2"/>
  <c r="N313" i="2"/>
  <c r="O313" i="2" s="1"/>
  <c r="N314" i="2"/>
  <c r="O314" i="2" s="1"/>
  <c r="N315" i="2"/>
  <c r="O315" i="2" s="1"/>
  <c r="N316" i="2"/>
  <c r="O316" i="2" s="1"/>
  <c r="N317" i="2"/>
  <c r="O317" i="2" s="1"/>
  <c r="N318" i="2"/>
  <c r="O318" i="2" s="1"/>
  <c r="N319" i="2"/>
  <c r="O319" i="2" s="1"/>
  <c r="N320" i="2"/>
  <c r="O320" i="2"/>
  <c r="N321" i="2"/>
  <c r="O321" i="2" s="1"/>
  <c r="N322" i="2"/>
  <c r="O322" i="2"/>
  <c r="N323" i="2"/>
  <c r="O323" i="2" s="1"/>
  <c r="N324" i="2"/>
  <c r="O324" i="2"/>
  <c r="N325" i="2"/>
  <c r="O325" i="2" s="1"/>
  <c r="N326" i="2"/>
  <c r="O326" i="2" s="1"/>
  <c r="N327" i="2"/>
  <c r="O327" i="2" s="1"/>
  <c r="N328" i="2"/>
  <c r="O328" i="2" s="1"/>
  <c r="N329" i="2"/>
  <c r="O329" i="2" s="1"/>
  <c r="N330" i="2"/>
  <c r="O330" i="2" s="1"/>
  <c r="N331" i="2"/>
  <c r="O331" i="2"/>
  <c r="N332" i="2"/>
  <c r="O332" i="2" s="1"/>
  <c r="N333" i="2"/>
  <c r="O333" i="2"/>
  <c r="N334" i="2"/>
  <c r="O334" i="2"/>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c r="N370" i="2"/>
  <c r="O370" i="2" s="1"/>
  <c r="N371" i="2"/>
  <c r="O371" i="2" s="1"/>
  <c r="N372" i="2"/>
  <c r="O372" i="2" s="1"/>
  <c r="N373" i="2"/>
  <c r="O373" i="2" s="1"/>
  <c r="N374" i="2"/>
  <c r="O374" i="2" s="1"/>
  <c r="N375" i="2"/>
  <c r="O375" i="2" s="1"/>
  <c r="N376" i="2"/>
  <c r="O376" i="2" s="1"/>
  <c r="N377" i="2"/>
  <c r="O377" i="2"/>
  <c r="N378" i="2"/>
  <c r="O378" i="2" s="1"/>
  <c r="N379" i="2"/>
  <c r="O379" i="2"/>
  <c r="N380" i="2"/>
  <c r="O380" i="2" s="1"/>
  <c r="N381" i="2"/>
  <c r="O381" i="2"/>
  <c r="N382" i="2"/>
  <c r="O382" i="2" s="1"/>
  <c r="N383" i="2"/>
  <c r="O383" i="2" s="1"/>
  <c r="N384" i="2"/>
  <c r="O384" i="2" s="1"/>
  <c r="N385" i="2"/>
  <c r="O385" i="2" s="1"/>
  <c r="N386" i="2"/>
  <c r="O386" i="2" s="1"/>
  <c r="N387" i="2"/>
  <c r="O387" i="2" s="1"/>
  <c r="N388" i="2"/>
  <c r="O388" i="2" s="1"/>
  <c r="N389" i="2"/>
  <c r="O389" i="2"/>
  <c r="N390" i="2"/>
  <c r="O390" i="2" s="1"/>
  <c r="N391" i="2"/>
  <c r="O391" i="2" s="1"/>
  <c r="N392" i="2"/>
  <c r="O392" i="2"/>
  <c r="N393" i="2"/>
  <c r="O393" i="2"/>
  <c r="N394" i="2"/>
  <c r="O394" i="2" s="1"/>
  <c r="N395" i="2"/>
  <c r="O395" i="2" s="1"/>
  <c r="N396" i="2"/>
  <c r="O396" i="2" s="1"/>
  <c r="N397" i="2"/>
  <c r="O397" i="2" s="1"/>
  <c r="N398" i="2"/>
  <c r="O398" i="2" s="1"/>
  <c r="N399" i="2"/>
  <c r="O399" i="2" s="1"/>
  <c r="N400" i="2"/>
  <c r="O400" i="2"/>
  <c r="N401" i="2"/>
  <c r="O401" i="2"/>
  <c r="N402" i="2"/>
  <c r="O402" i="2" s="1"/>
  <c r="N403" i="2"/>
  <c r="O403" i="2" s="1"/>
  <c r="N404" i="2"/>
  <c r="O404" i="2" s="1"/>
  <c r="N405" i="2"/>
  <c r="O405" i="2" s="1"/>
  <c r="N406" i="2"/>
  <c r="O406" i="2" s="1"/>
  <c r="N407" i="2"/>
  <c r="O407" i="2"/>
  <c r="N408" i="2"/>
  <c r="O408" i="2" s="1"/>
  <c r="N409" i="2"/>
  <c r="O409" i="2" s="1"/>
  <c r="N410" i="2"/>
  <c r="O410" i="2" s="1"/>
  <c r="N411" i="2"/>
  <c r="O411" i="2"/>
  <c r="N412" i="2"/>
  <c r="O412" i="2"/>
  <c r="N413" i="2"/>
  <c r="O413" i="2" s="1"/>
  <c r="N414" i="2"/>
  <c r="O414" i="2"/>
  <c r="N415" i="2"/>
  <c r="O415" i="2"/>
  <c r="N416" i="2"/>
  <c r="O416" i="2" s="1"/>
  <c r="N417" i="2"/>
  <c r="O417" i="2" s="1"/>
  <c r="N418" i="2"/>
  <c r="O418" i="2" s="1"/>
  <c r="N419" i="2"/>
  <c r="O419" i="2" s="1"/>
  <c r="N420" i="2"/>
  <c r="O420" i="2" s="1"/>
  <c r="N421" i="2"/>
  <c r="O421" i="2" s="1"/>
  <c r="N422" i="2"/>
  <c r="O422" i="2" s="1"/>
  <c r="N423" i="2"/>
  <c r="O423" i="2"/>
  <c r="N424" i="2"/>
  <c r="O424" i="2"/>
  <c r="N425" i="2"/>
  <c r="O425" i="2"/>
  <c r="N426" i="2"/>
  <c r="O426" i="2" s="1"/>
  <c r="N427" i="2"/>
  <c r="O427" i="2"/>
  <c r="N428" i="2"/>
  <c r="O428" i="2" s="1"/>
  <c r="N429" i="2"/>
  <c r="O429" i="2" s="1"/>
  <c r="N430" i="2"/>
  <c r="O430" i="2" s="1"/>
  <c r="N431" i="2"/>
  <c r="O431" i="2"/>
  <c r="N432" i="2"/>
  <c r="O432" i="2" s="1"/>
  <c r="N433" i="2"/>
  <c r="O433" i="2" s="1"/>
  <c r="N434" i="2"/>
  <c r="O434" i="2"/>
  <c r="N435" i="2"/>
  <c r="O435" i="2"/>
  <c r="N436" i="2"/>
  <c r="O436" i="2" s="1"/>
  <c r="N437" i="2"/>
  <c r="O437" i="2"/>
  <c r="N438" i="2"/>
  <c r="O438" i="2" s="1"/>
  <c r="N439" i="2"/>
  <c r="O439" i="2" s="1"/>
  <c r="N440" i="2"/>
  <c r="O440" i="2" s="1"/>
  <c r="N441" i="2"/>
  <c r="O441" i="2" s="1"/>
  <c r="N442" i="2"/>
  <c r="O442" i="2"/>
  <c r="N443" i="2"/>
  <c r="O443" i="2" s="1"/>
  <c r="N444" i="2"/>
  <c r="O444" i="2" s="1"/>
  <c r="N445" i="2"/>
  <c r="O445" i="2"/>
  <c r="N446" i="2"/>
  <c r="O446" i="2" s="1"/>
  <c r="N447" i="2"/>
  <c r="O447" i="2" s="1"/>
  <c r="N448" i="2"/>
  <c r="O448" i="2" s="1"/>
  <c r="N449" i="2"/>
  <c r="O449" i="2"/>
  <c r="N450" i="2"/>
  <c r="O450" i="2" s="1"/>
  <c r="N451" i="2"/>
  <c r="O451" i="2" s="1"/>
  <c r="N452" i="2"/>
  <c r="O452" i="2" s="1"/>
  <c r="N453" i="2"/>
  <c r="O453" i="2"/>
  <c r="N454" i="2"/>
  <c r="O454" i="2" s="1"/>
  <c r="N455" i="2"/>
  <c r="O455" i="2"/>
  <c r="N456" i="2"/>
  <c r="O456" i="2" s="1"/>
  <c r="N457" i="2"/>
  <c r="O457" i="2" s="1"/>
  <c r="N458" i="2"/>
  <c r="O458" i="2" s="1"/>
  <c r="N459" i="2"/>
  <c r="O459" i="2"/>
  <c r="N460" i="2"/>
  <c r="O460" i="2" s="1"/>
  <c r="N461" i="2"/>
  <c r="O461" i="2" s="1"/>
  <c r="N462" i="2"/>
  <c r="O462" i="2" s="1"/>
  <c r="N463" i="2"/>
  <c r="O463" i="2" s="1"/>
  <c r="N464" i="2"/>
  <c r="O464" i="2"/>
  <c r="N465" i="2"/>
  <c r="O465" i="2" s="1"/>
  <c r="N466" i="2"/>
  <c r="O466" i="2" s="1"/>
  <c r="N467" i="2"/>
  <c r="O467" i="2"/>
  <c r="N468" i="2"/>
  <c r="O468" i="2" s="1"/>
  <c r="N469" i="2"/>
  <c r="O469" i="2"/>
  <c r="N470" i="2"/>
  <c r="O470" i="2"/>
  <c r="N471" i="2"/>
  <c r="O471" i="2" s="1"/>
  <c r="N472" i="2"/>
  <c r="O472" i="2" s="1"/>
  <c r="N473" i="2"/>
  <c r="O473" i="2" s="1"/>
  <c r="N474" i="2"/>
  <c r="O474" i="2" s="1"/>
  <c r="N475" i="2"/>
  <c r="O475" i="2"/>
  <c r="N476" i="2"/>
  <c r="O476" i="2" s="1"/>
  <c r="N477" i="2"/>
  <c r="O477" i="2" s="1"/>
  <c r="N478" i="2"/>
  <c r="O478" i="2" s="1"/>
  <c r="N479" i="2"/>
  <c r="O479" i="2"/>
  <c r="N480" i="2"/>
  <c r="O480" i="2"/>
  <c r="N481" i="2"/>
  <c r="O481" i="2"/>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c r="N502" i="2"/>
  <c r="O502" i="2" s="1"/>
  <c r="N503" i="2"/>
  <c r="O503" i="2" s="1"/>
  <c r="N504" i="2"/>
  <c r="O504" i="2"/>
  <c r="N505" i="2"/>
  <c r="O505" i="2" s="1"/>
  <c r="N506" i="2"/>
  <c r="O506" i="2" s="1"/>
  <c r="N507" i="2"/>
  <c r="O507" i="2" s="1"/>
  <c r="N508" i="2"/>
  <c r="O508" i="2" s="1"/>
  <c r="N509" i="2"/>
  <c r="O509" i="2"/>
  <c r="N510" i="2"/>
  <c r="O510" i="2" s="1"/>
  <c r="N511" i="2"/>
  <c r="O511" i="2" s="1"/>
  <c r="N512" i="2"/>
  <c r="O512" i="2"/>
  <c r="N513" i="2"/>
  <c r="O513" i="2"/>
  <c r="N514" i="2"/>
  <c r="O514" i="2"/>
  <c r="N515" i="2"/>
  <c r="O515" i="2" s="1"/>
  <c r="O16" i="2"/>
  <c r="N16" i="2"/>
  <c r="H189" i="1"/>
  <c r="H179" i="1"/>
  <c r="D145" i="1"/>
  <c r="H188" i="1"/>
  <c r="H187" i="1"/>
  <c r="F126" i="19" s="1"/>
  <c r="H186" i="1"/>
  <c r="H185" i="1"/>
  <c r="F124" i="19" s="1"/>
  <c r="H183" i="1"/>
  <c r="F189" i="1"/>
  <c r="F188" i="1"/>
  <c r="D127" i="19" s="1"/>
  <c r="F187" i="1"/>
  <c r="F186" i="1"/>
  <c r="D125" i="19" s="1"/>
  <c r="F185" i="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F32" i="1"/>
  <c r="B2" i="12"/>
  <c r="B9" i="11"/>
  <c r="F125" i="19"/>
  <c r="F127" i="19"/>
  <c r="F128" i="19"/>
  <c r="F122" i="19"/>
  <c r="D124"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O5" i="1" s="1"/>
  <c r="F166" i="5"/>
  <c r="F361" i="5"/>
  <c r="F257" i="5"/>
  <c r="F75" i="5"/>
  <c r="M6" i="1"/>
  <c r="N6" i="1" s="1"/>
  <c r="T7" i="12" s="1"/>
  <c r="F127" i="5"/>
  <c r="F569" i="5"/>
  <c r="F309" i="5"/>
  <c r="F114" i="5"/>
  <c r="F49" i="5"/>
  <c r="F582" i="5"/>
  <c r="F400" i="5"/>
  <c r="F452" i="5"/>
  <c r="F556" i="5"/>
  <c r="F153" i="5"/>
  <c r="F270" i="5"/>
  <c r="F101" i="5"/>
  <c r="F244" i="5"/>
  <c r="F296" i="5"/>
  <c r="F23" i="5"/>
  <c r="F543" i="5"/>
  <c r="F283" i="5"/>
  <c r="F10" i="5"/>
  <c r="F504" i="5"/>
  <c r="F426" i="5"/>
  <c r="F387" i="5"/>
  <c r="F530" i="5"/>
  <c r="C3" i="5" l="1"/>
  <c r="N5" i="1"/>
  <c r="T6" i="12"/>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I595" i="5" l="1"/>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41" i="2"/>
  <c r="O541"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AD57" i="24" s="1"/>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AD20" i="24" s="1"/>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34" i="24" l="1"/>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90" i="23" s="1"/>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F11" i="15" l="1"/>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G31" i="1"/>
  <c r="J7" i="23" s="1"/>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W101" i="15" s="1"/>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L8" i="4" l="1"/>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J94"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E94"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G57" i="19"/>
  <c r="F64" i="19" s="1"/>
  <c r="F66" i="19" s="1"/>
  <c r="G39" i="19"/>
  <c r="F46" i="19" s="1"/>
  <c r="F48" i="19" s="1"/>
  <c r="F84" i="19"/>
  <c r="G93" i="19"/>
  <c r="F100" i="19" s="1"/>
  <c r="F102" i="19" s="1"/>
  <c r="G21" i="19"/>
  <c r="F28" i="19" s="1"/>
  <c r="F30" i="19" l="1"/>
  <c r="P136" i="1"/>
  <c r="J102" i="19"/>
  <c r="J106" i="19" s="1"/>
</calcChain>
</file>

<file path=xl/comments1.xml><?xml version="1.0" encoding="utf-8"?>
<comments xmlns="http://schemas.openxmlformats.org/spreadsheetml/2006/main">
  <authors>
    <author/>
  </authors>
  <commentList>
    <comment ref="J7" authorId="0" shapeId="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<sst xmlns="http://schemas.openxmlformats.org/spreadsheetml/2006/main" count="1099" uniqueCount="582">
  <si>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</si>
  <si>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</si>
  <si>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</si>
  <si>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</si>
  <si>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</si>
  <si>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</si>
  <si>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</si>
  <si>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</si>
  <si>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</si>
  <si>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</si>
  <si>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</si>
  <si>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</si>
  <si>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</si>
  <si>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</si>
  <si>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</si>
  <si>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</si>
  <si>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</si>
  <si>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</si>
  <si>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</si>
  <si>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</si>
  <si>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</si>
  <si>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</si>
  <si>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</si>
  <si>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</si>
  <si>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</si>
  <si>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</si>
  <si>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</si>
  <si>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</si>
  <si>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</si>
  <si>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</si>
  <si>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</si>
  <si>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</si>
  <si>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</si>
  <si>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</si>
  <si>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</si>
  <si>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</si>
  <si>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</si>
  <si>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</si>
  <si>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</si>
  <si>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</si>
  <si>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</si>
  <si>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</si>
  <si>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</si>
  <si>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</si>
  <si>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</si>
  <si>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</si>
  <si>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</si>
  <si>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</si>
  <si>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</si>
  <si>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</si>
  <si>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</si>
  <si>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</si>
  <si>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</si>
  <si>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</si>
  <si>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</si>
  <si>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</si>
  <si>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</si>
  <si>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</si>
  <si>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</si>
  <si>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</si>
  <si>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</si>
  <si>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</si>
  <si>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</si>
  <si>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</si>
  <si>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</si>
  <si>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</si>
  <si>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</si>
  <si>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</si>
  <si>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</si>
  <si>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</si>
  <si>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</si>
  <si>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</si>
  <si>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</si>
  <si>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</si>
  <si>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</si>
  <si>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</si>
  <si>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</si>
  <si>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</si>
  <si>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</si>
  <si>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</si>
  <si>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</si>
  <si>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</si>
  <si>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</si>
  <si>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</si>
  <si>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</si>
  <si>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</si>
  <si>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</si>
  <si>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</si>
  <si>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</si>
  <si>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</si>
  <si>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</si>
  <si>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</si>
  <si>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</si>
  <si>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</si>
  <si>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</si>
  <si>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</si>
  <si>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</si>
  <si>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</si>
  <si>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</si>
  <si>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</si>
  <si>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</si>
  <si>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</si>
  <si>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</si>
  <si>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</si>
  <si>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</si>
  <si>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</si>
  <si>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</si>
  <si>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</si>
  <si>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</si>
  <si>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</si>
  <si>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</si>
  <si>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</si>
  <si>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</si>
  <si>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</si>
  <si>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</si>
  <si>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</si>
  <si>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</si>
  <si>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</si>
  <si>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</si>
  <si>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</si>
  <si>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</si>
  <si>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</si>
  <si>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</si>
  <si>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</si>
  <si>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</si>
  <si>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</si>
  <si>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</si>
  <si>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</si>
  <si>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</si>
  <si>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</si>
  <si>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</si>
  <si>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</si>
  <si>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</si>
  <si>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</si>
  <si>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</si>
  <si>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</si>
  <si>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</si>
  <si>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</si>
  <si>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</si>
  <si>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</si>
  <si>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</si>
  <si>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</si>
  <si>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</si>
  <si>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</si>
  <si>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</si>
  <si>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</si>
  <si>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</si>
  <si>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</si>
  <si>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</si>
  <si>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</si>
  <si>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</si>
  <si>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</si>
  <si>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</si>
  <si>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</si>
  <si>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</si>
  <si>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</si>
  <si>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</si>
  <si>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</si>
  <si>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</si>
  <si>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</si>
  <si>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</si>
  <si>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</si>
  <si>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</si>
  <si>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</si>
  <si>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</si>
  <si>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</si>
  <si>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</si>
  <si>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</si>
  <si>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</si>
  <si>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</si>
  <si>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</si>
  <si>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</si>
  <si>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</si>
  <si>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</si>
  <si>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</si>
  <si>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</si>
  <si>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</si>
  <si>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</si>
  <si>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</si>
  <si>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</si>
  <si>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</si>
  <si>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</si>
  <si>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</si>
  <si>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</si>
  <si>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</si>
  <si>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</si>
  <si>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</si>
  <si>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</si>
  <si>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</si>
  <si>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</si>
  <si>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</si>
  <si>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</si>
  <si>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</si>
  <si>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</si>
  <si>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</si>
  <si>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</si>
  <si>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</si>
  <si>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</si>
  <si>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</si>
  <si>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</si>
  <si>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</si>
  <si>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</si>
  <si>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</si>
  <si>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</si>
  <si>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</si>
  <si>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</si>
  <si>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</si>
  <si>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</si>
  <si>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</si>
  <si>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</si>
  <si>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</si>
  <si>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</si>
  <si>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</si>
  <si>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</si>
  <si>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</si>
  <si>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</si>
  <si>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</si>
  <si>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</si>
  <si>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</si>
  <si>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</si>
  <si>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</si>
  <si>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</si>
  <si>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</si>
  <si>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</si>
  <si>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</si>
  <si>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</si>
  <si>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</si>
  <si>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</si>
  <si>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</si>
  <si>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</si>
  <si>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</si>
  <si>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</si>
  <si>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</si>
  <si>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</si>
  <si>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</si>
  <si>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</si>
  <si>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</si>
  <si>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</si>
  <si>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</si>
  <si>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</si>
  <si>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</si>
  <si>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</si>
  <si>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</si>
  <si>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</si>
  <si>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</si>
  <si>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</si>
  <si>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</si>
  <si>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</si>
  <si>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</si>
  <si>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</si>
  <si>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</si>
  <si>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</si>
  <si>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</si>
  <si>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</si>
  <si>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</si>
  <si>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</si>
  <si>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</si>
  <si>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</si>
  <si>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</si>
  <si>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</si>
  <si>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</si>
  <si>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</si>
  <si>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</si>
  <si>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</si>
  <si>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</si>
  <si>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</si>
  <si>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</si>
  <si>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</si>
  <si>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</si>
  <si>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</si>
  <si>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</si>
  <si>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</si>
  <si>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</si>
  <si>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</si>
  <si>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</si>
  <si>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</si>
  <si>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</si>
  <si>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</si>
  <si>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</si>
  <si>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</si>
  <si>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</si>
  <si>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</si>
  <si>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</si>
  <si>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</si>
  <si>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</si>
  <si>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</si>
  <si>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</si>
  <si>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</si>
  <si>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</si>
  <si>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</si>
  <si>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</si>
  <si>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</si>
  <si>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</si>
  <si>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</si>
  <si>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</si>
  <si>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</si>
  <si>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</si>
  <si>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</si>
  <si>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</si>
  <si>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</si>
  <si>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</si>
  <si>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</si>
  <si>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</si>
  <si>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</si>
  <si>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</si>
  <si>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</si>
  <si>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</si>
  <si>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</si>
  <si>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</si>
  <si>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</si>
  <si>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</si>
  <si>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</si>
  <si>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</si>
  <si>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</si>
  <si>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</si>
  <si>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</si>
  <si>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</si>
  <si>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</si>
  <si>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</si>
  <si>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</si>
  <si>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</si>
  <si>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</si>
  <si>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</si>
  <si>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</si>
  <si>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</si>
  <si>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</si>
  <si>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</si>
  <si>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</si>
  <si>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</si>
  <si>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</si>
  <si>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</si>
  <si>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</si>
  <si>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</si>
  <si>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</si>
  <si>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</si>
  <si>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</si>
  <si>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</si>
  <si>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</si>
  <si>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</si>
  <si>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</si>
  <si>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</si>
  <si>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</si>
  <si>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</si>
  <si>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</si>
  <si>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</si>
  <si>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</si>
  <si>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</si>
  <si>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</si>
  <si>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</si>
  <si>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</si>
  <si>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</si>
  <si>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</si>
  <si>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</si>
  <si>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</si>
  <si>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</si>
  <si>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</si>
  <si>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</si>
  <si>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</si>
  <si>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</si>
  <si>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</si>
  <si>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</si>
  <si>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</si>
  <si>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</si>
  <si>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</si>
  <si>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</si>
  <si>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</si>
  <si>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</si>
  <si>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</si>
  <si>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</si>
  <si>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</si>
  <si>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</si>
  <si>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</si>
  <si>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</si>
  <si>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</si>
  <si>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</si>
  <si>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</si>
  <si>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</si>
  <si>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</si>
  <si>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</si>
  <si>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</si>
  <si>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</si>
  <si>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</si>
  <si>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</si>
  <si>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</si>
  <si>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</si>
  <si>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</si>
  <si>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</si>
  <si>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</si>
  <si>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</si>
  <si>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</si>
  <si>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</si>
  <si>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</si>
  <si>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</si>
  <si>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</si>
  <si>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</si>
  <si>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</si>
  <si>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</si>
  <si>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</si>
  <si>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</si>
  <si>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</si>
  <si>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</si>
  <si>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</si>
  <si>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</si>
  <si>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</si>
  <si>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</si>
  <si>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</si>
  <si>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</si>
  <si>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</si>
  <si>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</si>
  <si>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</si>
  <si>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</si>
  <si>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</si>
  <si>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</si>
  <si>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</si>
  <si>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</si>
  <si>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</si>
  <si>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</si>
  <si>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</si>
  <si>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</si>
  <si>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</si>
  <si>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</si>
  <si>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</si>
  <si>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</si>
  <si>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</si>
  <si>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</si>
  <si>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</si>
  <si>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</si>
  <si>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</si>
  <si>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</si>
  <si>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</si>
  <si>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</si>
  <si>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</si>
  <si>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</si>
  <si>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</si>
  <si>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</si>
  <si>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</si>
  <si>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</si>
  <si>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</si>
  <si>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</si>
  <si>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</si>
  <si>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</si>
  <si>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</si>
  <si>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</si>
  <si>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</si>
  <si>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</si>
  <si>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</si>
  <si>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</si>
  <si>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</si>
  <si>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</si>
  <si>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</si>
  <si>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</si>
  <si>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</si>
  <si>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</si>
  <si>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</si>
  <si>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</si>
  <si>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</si>
  <si>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</si>
  <si>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</si>
  <si>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</si>
  <si>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</si>
  <si>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</si>
  <si>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</si>
  <si>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</si>
  <si>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</si>
  <si>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</si>
  <si>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</si>
  <si>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</si>
  <si>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</si>
  <si>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</si>
  <si>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</si>
  <si>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</si>
  <si>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</si>
  <si>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</si>
  <si>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</si>
  <si>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</si>
  <si>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</si>
  <si>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</si>
  <si>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</si>
  <si>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</si>
  <si>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</si>
  <si>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</si>
  <si>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</si>
  <si>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</si>
  <si>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</si>
  <si>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</si>
  <si>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</si>
  <si>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</si>
  <si>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</si>
  <si>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</si>
  <si>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</si>
  <si>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</si>
  <si>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</si>
  <si>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</si>
  <si>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</si>
  <si>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</si>
  <si>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</si>
  <si>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</si>
  <si>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</si>
  <si>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</si>
  <si>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</si>
  <si>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</si>
  <si>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</si>
  <si>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</si>
  <si>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</si>
  <si>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</si>
  <si>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</si>
  <si>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</si>
  <si>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</si>
  <si>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</si>
  <si>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</si>
  <si>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</si>
  <si>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</si>
  <si>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</si>
  <si>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</si>
  <si>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</si>
  <si>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</si>
  <si>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</si>
  <si>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</si>
  <si>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</si>
  <si>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</si>
  <si>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</si>
  <si>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</si>
  <si>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</si>
  <si>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</si>
  <si>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</si>
  <si>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</si>
  <si>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</si>
  <si>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</si>
  <si>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</si>
  <si>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</si>
  <si>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</si>
  <si>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</si>
  <si>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</si>
  <si>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</si>
  <si>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</si>
  <si>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</si>
  <si>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</si>
  <si>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</si>
  <si>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</si>
  <si>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</si>
  <si>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</si>
  <si>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</si>
  <si>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</si>
  <si>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</si>
  <si>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</si>
  <si>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</si>
  <si>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</si>
  <si>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</si>
  <si>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</si>
  <si>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</si>
  <si>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</si>
  <si>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</si>
  <si>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</si>
  <si>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</si>
  <si>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</si>
  <si>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</si>
  <si>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</si>
  <si>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</si>
  <si>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</si>
  <si>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</si>
  <si>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Version 2024.05</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</si>
  <si>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</si>
  <si>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</si>
  <si>
    <t>British Columbia</t>
  </si>
  <si>
    <t>SQN 
Lottery/Raffle</t>
  </si>
  <si>
    <t>Bingo Income</t>
  </si>
  <si>
    <t>Assessments</t>
  </si>
  <si>
    <t>Sale of 
Sqn
Logo Items</t>
  </si>
  <si>
    <t>FTX
Fall</t>
  </si>
  <si>
    <t>FTX
Spring</t>
  </si>
  <si>
    <t>FTX
Other</t>
  </si>
  <si>
    <t>Tagging
Revenue
Fall</t>
  </si>
  <si>
    <t>Tagging
Revenue
Spring</t>
  </si>
  <si>
    <t>Tagging
Expenses
Fall</t>
  </si>
  <si>
    <t>Tagging
Expenses
Spring</t>
  </si>
  <si>
    <t>Bottle Drive
Expenses</t>
  </si>
  <si>
    <t>Annual
Banquet
Ticket Sales
&amp; Such</t>
  </si>
  <si>
    <t>Bottle Drive
Revenue</t>
  </si>
  <si>
    <t>SQN
Lottery/Raffles
Expenses</t>
  </si>
  <si>
    <t>Rental
Revenue</t>
  </si>
  <si>
    <t>Storage
Rental
Expenses</t>
  </si>
  <si>
    <t>Annual
Banquet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</si>
</sst>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dd/mmm/yy"/>
    <numFmt numFmtId="176" formatCode="[$-409]mmm/yy;@"/>
    <numFmt numFmtId="177" formatCode="dd\ mmmm\ yyyy"/>
    <numFmt numFmtId="178" formatCode="[$-409]d/mmm;@"/>
    <numFmt numFmtId="179" formatCode="yyyy/mm/dd;@"/>
    <numFmt numFmtId="180" formatCode="_-[$$-1009]* #,##0.00_-;\-[$$-1009]* #,##0.00_-;_-[$$-1009]* \-??_-;_-@_-"/>
    <numFmt numFmtId="181" formatCode="#\ #\ #\ #\ #\ #\ #\ #\ #"/>
    <numFmt numFmtId="182" formatCode="0000"/>
    <numFmt numFmtId="183" formatCode="_(\$* #,##0_);[Red]\$* \(#,##0\);_(\$* \-??_);_(@_)"/>
    <numFmt numFmtId="184" formatCode="_(\$* #,##0_);_(\$* \(#,##0\);_(\$* \-_);_(@_)"/>
    <numFmt numFmtId="185" formatCode="_(* #,##0_);_(* \(#,##0\);_(* \-_);_(@_)"/>
    <numFmt numFmtId="186" formatCode="\$#,##0_);[Red]&quot;($&quot;#,##0\)"/>
    <numFmt numFmtId="187" formatCode="\$* #,##0_);[Red]&quot;($&quot;* #,##0\)"/>
    <numFmt numFmtId="188" formatCode="\$#,##0"/>
    <numFmt numFmtId="189" formatCode="_(\$* #,##0_);[Red]&quot;($&quot;* \(#,##0\);_(\$* \-??_);_(@_)"/>
    <numFmt numFmtId="190" formatCode="\$#,##0.00_);[Red]&quot;($&quot;#,##0.00\)"/>
    <numFmt numFmtId="191" formatCode="#,##0\ [$€-1];[Red]\-#,##0\ [$€-1]"/>
    <numFmt numFmtId="192" formatCode="dd/mm/yyyy"/>
    <numFmt numFmtId="193" formatCode="_(&quot;$&quot;* #,##0.00_);[Red]&quot;$&quot;* \(#,##0.00\);_(&quot;$&quot;* &quot;-&quot;??_);_(@_)"/>
    <numFmt numFmtId="194" formatCode="yyyy\-mm\-dd;@"/>
    <numFmt numFmtId="195" formatCode="[&lt;=9999999]###\-####;\(###\)\ ###\-####"/>
    <numFmt numFmtId="196"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5">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7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6"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6"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6"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6"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6"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1"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3"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3"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3" fontId="28" fillId="31" borderId="7" xfId="2" applyNumberFormat="1" applyFont="1" applyFill="1" applyBorder="1" applyAlignment="1" applyProtection="1">
      <alignment vertical="center"/>
    </xf>
    <xf numFmtId="183" fontId="45" fillId="0" borderId="19" xfId="2" applyNumberFormat="1" applyFont="1" applyBorder="1" applyAlignment="1" applyProtection="1">
      <alignment vertical="center"/>
    </xf>
    <xf numFmtId="0" fontId="51" fillId="0" borderId="0" xfId="0" applyFont="1" applyAlignment="1">
      <alignment vertical="center"/>
    </xf>
    <xf numFmtId="183"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3" fontId="28" fillId="14" borderId="7" xfId="2" applyNumberFormat="1" applyFont="1" applyFill="1" applyBorder="1" applyAlignment="1" applyProtection="1">
      <alignment vertical="center"/>
    </xf>
    <xf numFmtId="183"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3"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3" fontId="12" fillId="15" borderId="7" xfId="2" applyNumberFormat="1" applyFont="1" applyFill="1" applyBorder="1" applyAlignment="1" applyProtection="1">
      <alignment vertical="center"/>
    </xf>
    <xf numFmtId="184"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3" fontId="28" fillId="14" borderId="20" xfId="2" applyNumberFormat="1" applyFont="1" applyFill="1" applyBorder="1" applyAlignment="1" applyProtection="1">
      <alignment vertical="center"/>
    </xf>
    <xf numFmtId="183"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3" fontId="28" fillId="14" borderId="82" xfId="2" applyNumberFormat="1" applyFont="1" applyFill="1" applyBorder="1" applyAlignment="1" applyProtection="1">
      <alignment vertical="center"/>
    </xf>
    <xf numFmtId="183"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4" fontId="32" fillId="0" borderId="0" xfId="0" applyNumberFormat="1" applyFont="1" applyAlignment="1">
      <alignment vertical="center"/>
    </xf>
    <xf numFmtId="186"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3" fontId="77" fillId="0" borderId="7" xfId="0" applyNumberFormat="1" applyFont="1" applyBorder="1" applyAlignment="1">
      <alignment horizontal="left" vertical="center" indent="2"/>
    </xf>
    <xf numFmtId="183"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3" fontId="77" fillId="0" borderId="7" xfId="2" applyNumberFormat="1" applyFont="1" applyBorder="1" applyAlignment="1" applyProtection="1">
      <alignment horizontal="left" vertical="center" indent="2"/>
    </xf>
    <xf numFmtId="185"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3" fontId="79" fillId="27" borderId="7" xfId="0" applyNumberFormat="1" applyFont="1" applyFill="1" applyBorder="1" applyAlignment="1">
      <alignment horizontal="left" vertical="center"/>
    </xf>
    <xf numFmtId="187" fontId="12" fillId="30" borderId="20" xfId="0" applyNumberFormat="1" applyFont="1" applyFill="1" applyBorder="1" applyAlignment="1">
      <alignment horizontal="left" vertical="center"/>
    </xf>
    <xf numFmtId="183"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8"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5"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9" fontId="3" fillId="0" borderId="0" xfId="0" applyNumberFormat="1" applyFont="1" applyAlignment="1">
      <alignment vertical="center"/>
    </xf>
    <xf numFmtId="0" fontId="51" fillId="0" borderId="17" xfId="0" applyFont="1" applyBorder="1" applyAlignment="1">
      <alignment horizontal="center" vertical="center"/>
    </xf>
    <xf numFmtId="183"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3"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4"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3"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4"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3"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3" fontId="12" fillId="27" borderId="137" xfId="0" applyNumberFormat="1" applyFont="1" applyFill="1" applyBorder="1" applyAlignment="1">
      <alignment vertical="center"/>
    </xf>
    <xf numFmtId="183"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4"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3"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3"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4"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80"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80"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7"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1"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1"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2"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2" fontId="19" fillId="5" borderId="84" xfId="0" applyNumberFormat="1" applyFont="1" applyFill="1" applyBorder="1" applyAlignment="1" applyProtection="1">
      <alignment horizontal="left" vertical="center" wrapText="1" indent="1"/>
      <protection locked="0"/>
    </xf>
    <xf numFmtId="192" fontId="19" fillId="5" borderId="145" xfId="0" applyNumberFormat="1" applyFont="1" applyFill="1" applyBorder="1" applyAlignment="1" applyProtection="1">
      <alignment horizontal="left" vertical="center" wrapText="1" indent="1"/>
      <protection locked="0"/>
    </xf>
    <xf numFmtId="192" fontId="44" fillId="15" borderId="66" xfId="0" applyNumberFormat="1" applyFont="1" applyFill="1" applyBorder="1" applyAlignment="1">
      <alignment vertical="center"/>
    </xf>
    <xf numFmtId="192" fontId="44" fillId="15" borderId="64" xfId="0" applyNumberFormat="1" applyFont="1" applyFill="1" applyBorder="1" applyAlignment="1">
      <alignment horizontal="right" vertical="center" indent="1"/>
    </xf>
    <xf numFmtId="192"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9" fontId="28" fillId="59" borderId="0" xfId="0" applyNumberFormat="1" applyFont="1" applyFill="1" applyAlignment="1">
      <alignment vertical="center" wrapText="1"/>
    </xf>
    <xf numFmtId="0" fontId="26" fillId="59" borderId="0" xfId="0" applyFont="1" applyFill="1" applyAlignment="1">
      <alignment vertical="center"/>
    </xf>
    <xf numFmtId="183"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3"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3"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3"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3" fontId="108" fillId="61" borderId="8" xfId="0" applyNumberFormat="1" applyFont="1" applyFill="1" applyBorder="1" applyAlignment="1" applyProtection="1">
      <alignment vertical="center" wrapText="1"/>
      <protection locked="0"/>
    </xf>
    <xf numFmtId="193" fontId="88" fillId="62" borderId="217" xfId="0" applyNumberFormat="1" applyFont="1" applyFill="1" applyBorder="1" applyAlignment="1" applyProtection="1">
      <alignment horizontal="right" vertical="center" indent="1"/>
      <protection locked="0"/>
    </xf>
    <xf numFmtId="193" fontId="88" fillId="62" borderId="218" xfId="0" applyNumberFormat="1" applyFont="1" applyFill="1" applyBorder="1" applyAlignment="1" applyProtection="1">
      <alignment horizontal="right" vertical="center"/>
      <protection locked="0"/>
    </xf>
    <xf numFmtId="193" fontId="88" fillId="62" borderId="75" xfId="0" applyNumberFormat="1" applyFont="1" applyFill="1" applyBorder="1" applyAlignment="1" applyProtection="1">
      <alignment vertical="center"/>
      <protection locked="0"/>
    </xf>
    <xf numFmtId="193"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2"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4" fontId="14" fillId="0" borderId="7" xfId="0" applyNumberFormat="1" applyFont="1" applyBorder="1" applyAlignment="1">
      <alignment horizontal="center" vertical="center"/>
    </xf>
    <xf numFmtId="194" fontId="88" fillId="61" borderId="60" xfId="0" applyNumberFormat="1" applyFont="1" applyFill="1" applyBorder="1" applyAlignment="1" applyProtection="1">
      <alignment horizontal="center" vertical="center"/>
      <protection locked="0"/>
    </xf>
    <xf numFmtId="194" fontId="88" fillId="61" borderId="7" xfId="0" applyNumberFormat="1" applyFont="1" applyFill="1" applyBorder="1" applyAlignment="1" applyProtection="1">
      <alignment horizontal="center" vertical="center"/>
      <protection locked="0"/>
    </xf>
    <xf numFmtId="194" fontId="3" fillId="4" borderId="7" xfId="0" applyNumberFormat="1" applyFont="1" applyFill="1" applyBorder="1" applyAlignment="1" applyProtection="1">
      <alignment horizontal="center" vertical="center"/>
      <protection locked="0"/>
    </xf>
    <xf numFmtId="194" fontId="88" fillId="61" borderId="71" xfId="0" applyNumberFormat="1" applyFont="1" applyFill="1" applyBorder="1" applyAlignment="1" applyProtection="1">
      <alignment horizontal="center" vertical="center"/>
      <protection locked="0"/>
    </xf>
    <xf numFmtId="194" fontId="88" fillId="0" borderId="7" xfId="0" applyNumberFormat="1" applyFont="1" applyBorder="1" applyAlignment="1" applyProtection="1">
      <alignment horizontal="center" vertical="center"/>
      <protection locked="0"/>
    </xf>
    <xf numFmtId="194" fontId="44" fillId="73" borderId="130" xfId="0" applyNumberFormat="1" applyFont="1" applyFill="1" applyBorder="1" applyAlignment="1" applyProtection="1">
      <alignment horizontal="center" vertical="center"/>
      <protection locked="0"/>
    </xf>
    <xf numFmtId="194" fontId="19" fillId="5" borderId="19" xfId="0" applyNumberFormat="1" applyFont="1" applyFill="1" applyBorder="1" applyAlignment="1" applyProtection="1">
      <alignment horizontal="center" vertical="center"/>
      <protection locked="0"/>
    </xf>
    <xf numFmtId="194"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4"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4"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4"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4"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4" borderId="82" xfId="0" applyFont="1" applyFill="1" applyBorder="1" applyAlignment="1">
      <alignment horizontal="center" vertical="center" wrapText="1"/>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0" fontId="15" fillId="4" borderId="17" xfId="0" applyFont="1" applyFill="1" applyBorder="1" applyAlignment="1">
      <alignment horizontal="center" vertical="center" wrapText="1"/>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3"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7" fontId="42" fillId="0" borderId="0" xfId="0" applyNumberFormat="1" applyFont="1" applyAlignment="1">
      <alignment vertical="top"/>
    </xf>
    <xf numFmtId="178" fontId="3" fillId="0" borderId="0" xfId="0" applyNumberFormat="1" applyFont="1" applyAlignment="1">
      <alignment vertical="center"/>
    </xf>
    <xf numFmtId="0" fontId="32" fillId="0" borderId="0" xfId="0" applyFont="1" applyAlignment="1">
      <alignment vertical="top" wrapText="1"/>
    </xf>
    <xf numFmtId="179"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4"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4"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6"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4" fontId="112" fillId="2" borderId="0" xfId="0" applyNumberFormat="1" applyFont="1" applyFill="1" applyAlignment="1">
      <alignment horizontal="left" vertical="center"/>
    </xf>
    <xf numFmtId="194"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94" fillId="0" borderId="6" xfId="0" applyFont="1" applyBorder="1" applyAlignment="1">
      <alignment horizontal="center" vertical="center" wrapText="1"/>
    </xf>
    <xf numFmtId="0" fontId="83" fillId="11" borderId="7" xfId="0" applyFont="1" applyFill="1" applyBorder="1" applyAlignment="1" applyProtection="1">
      <alignment horizontal="left" vertical="center" wrapText="1" indent="1"/>
      <protection locked="0"/>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83"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83" fillId="11" borderId="7" xfId="0" applyFont="1" applyFill="1" applyBorder="1" applyAlignment="1">
      <alignment horizontal="left" vertical="center" wrapText="1" indent="1"/>
    </xf>
    <xf numFmtId="0" fontId="83" fillId="9" borderId="7" xfId="0" applyFont="1" applyFill="1" applyBorder="1" applyAlignment="1" applyProtection="1">
      <alignment horizontal="left" vertical="center" wrapText="1" indent="1"/>
      <protection locked="0"/>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0" xfId="0" applyFont="1" applyFill="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0" borderId="0" xfId="0" applyFont="1" applyAlignment="1">
      <alignment horizontal="right" vertical="center" indent="2"/>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49" fontId="5" fillId="54" borderId="0" xfId="0" applyNumberFormat="1" applyFont="1" applyFill="1" applyAlignment="1">
      <alignment horizontal="center" vertical="center" wrapText="1"/>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0" fontId="17" fillId="0" borderId="0" xfId="0" applyFont="1" applyAlignment="1">
      <alignment vertical="center" wrapText="1"/>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4"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14" fillId="0" borderId="7" xfId="0" applyFont="1" applyBorder="1" applyAlignment="1">
      <alignment horizontal="left" vertical="center" wrapText="1" inden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177" fontId="43" fillId="0" borderId="0" xfId="0" applyNumberFormat="1" applyFont="1" applyAlignment="1">
      <alignment horizontal="center" vertical="center"/>
    </xf>
    <xf numFmtId="0" fontId="17" fillId="0" borderId="0" xfId="0" applyFont="1" applyAlignment="1">
      <alignment horizontal="right" vertical="center" wrapText="1"/>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right" vertical="center" indent="1"/>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0" fontId="12" fillId="0" borderId="7" xfId="0" applyFont="1" applyBorder="1" applyAlignment="1">
      <alignment horizontal="right" vertical="center" indent="1"/>
    </xf>
    <xf numFmtId="0" fontId="12" fillId="9" borderId="83" xfId="0" applyFont="1" applyFill="1" applyBorder="1" applyAlignment="1">
      <alignment horizontal="right" vertical="center" indent="1"/>
    </xf>
    <xf numFmtId="0" fontId="17" fillId="0" borderId="9" xfId="0" applyFont="1" applyBorder="1" applyAlignment="1">
      <alignment horizontal="center" vertical="center"/>
    </xf>
    <xf numFmtId="0" fontId="12" fillId="9" borderId="131" xfId="0" applyFont="1" applyFill="1" applyBorder="1" applyAlignment="1">
      <alignment horizontal="right" vertical="center" indent="1"/>
    </xf>
    <xf numFmtId="0" fontId="17" fillId="0" borderId="0" xfId="0" applyFont="1" applyAlignment="1">
      <alignment horizontal="center" vertical="center" wrapText="1"/>
    </xf>
    <xf numFmtId="0" fontId="5" fillId="60" borderId="0" xfId="0" applyFont="1" applyFill="1" applyAlignment="1">
      <alignment horizontal="center" vertical="center" wrapText="1"/>
    </xf>
    <xf numFmtId="0" fontId="7" fillId="0" borderId="0" xfId="0" applyFont="1" applyAlignment="1">
      <alignment horizontal="left" vertical="center" wrapText="1" inden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9" fillId="9" borderId="7" xfId="0" applyFont="1" applyFill="1" applyBorder="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3"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textRotation="90" wrapText="1"/>
    </xf>
    <xf numFmtId="0" fontId="3" fillId="0" borderId="141" xfId="0" applyFont="1" applyBorder="1" applyAlignment="1">
      <alignment horizontal="center" vertical="center" wrapText="1"/>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5" fillId="14" borderId="123" xfId="0" applyFont="1" applyFill="1" applyBorder="1" applyAlignment="1">
      <alignment horizontal="right" vertical="center" wrapText="1" inden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64" fillId="0" borderId="76" xfId="0" applyFont="1" applyBorder="1" applyAlignment="1">
      <alignment horizontal="center" vertical="center"/>
    </xf>
    <xf numFmtId="0" fontId="3" fillId="0" borderId="17" xfId="0" applyFont="1" applyBorder="1" applyAlignment="1">
      <alignment horizontal="left" vertical="center" wrapText="1" indent="1"/>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12" fillId="5" borderId="3" xfId="0" applyFont="1" applyFill="1" applyBorder="1" applyAlignment="1">
      <alignment horizontal="left" vertical="center" indent="1"/>
    </xf>
    <xf numFmtId="0" fontId="12" fillId="5" borderId="9" xfId="0" applyFont="1" applyFill="1" applyBorder="1" applyAlignment="1">
      <alignment horizontal="left" vertical="center" indent="1"/>
    </xf>
    <xf numFmtId="0" fontId="67" fillId="0" borderId="0" xfId="0" applyFont="1" applyAlignment="1">
      <alignment horizontal="left" vertical="center"/>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17" fillId="0" borderId="0" xfId="0" applyFont="1" applyAlignment="1">
      <alignment horizontal="center" vertical="center"/>
    </xf>
    <xf numFmtId="195" fontId="12" fillId="5" borderId="9" xfId="0" applyNumberFormat="1" applyFont="1" applyFill="1" applyBorder="1" applyAlignment="1">
      <alignment horizontal="left" vertical="center" indent="1"/>
    </xf>
    <xf numFmtId="0" fontId="67" fillId="0" borderId="0" xfId="0" applyFont="1" applyAlignment="1">
      <alignment horizontal="right" vertical="center" indent="1"/>
    </xf>
    <xf numFmtId="0" fontId="12" fillId="5" borderId="3" xfId="0" applyFont="1" applyFill="1" applyBorder="1" applyAlignment="1">
      <alignment horizontal="right" vertical="center"/>
    </xf>
    <xf numFmtId="194" fontId="3" fillId="0" borderId="28" xfId="0" applyNumberFormat="1" applyFont="1" applyBorder="1" applyAlignment="1" applyProtection="1">
      <alignment horizontal="center" vertical="center"/>
      <protection locked="0"/>
    </xf>
    <xf numFmtId="194"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4" fontId="70" fillId="0" borderId="19" xfId="0" applyNumberFormat="1" applyFont="1" applyBorder="1" applyAlignment="1">
      <alignment horizontal="center" vertical="center"/>
    </xf>
    <xf numFmtId="194" fontId="70" fillId="0" borderId="20" xfId="0" applyNumberFormat="1" applyFont="1" applyBorder="1" applyAlignment="1">
      <alignment horizontal="center" vertical="center"/>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57" fillId="0" borderId="19" xfId="0" applyFont="1"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45" fillId="0" borderId="20" xfId="0" applyFont="1" applyBorder="1" applyAlignment="1">
      <alignment horizontal="left" vertical="center" indent="1"/>
    </xf>
    <xf numFmtId="0" fontId="28" fillId="31" borderId="7" xfId="0" applyFont="1" applyFill="1" applyBorder="1" applyAlignment="1">
      <alignment horizontal="right" vertical="center" indent="1"/>
    </xf>
    <xf numFmtId="0" fontId="12" fillId="22" borderId="88" xfId="0" applyFont="1" applyFill="1" applyBorder="1" applyAlignment="1">
      <alignment horizontal="left" vertical="center" indent="1"/>
    </xf>
    <xf numFmtId="0" fontId="0" fillId="0" borderId="7" xfId="0" applyBorder="1" applyAlignment="1">
      <alignment horizontal="center" vertical="center"/>
    </xf>
    <xf numFmtId="0" fontId="28" fillId="14" borderId="7" xfId="0" applyFont="1" applyFill="1" applyBorder="1" applyAlignment="1">
      <alignment horizontal="right" vertical="center" indent="1"/>
    </xf>
    <xf numFmtId="0" fontId="20" fillId="0" borderId="0" xfId="0" applyFont="1" applyAlignment="1">
      <alignment vertical="center"/>
    </xf>
    <xf numFmtId="0" fontId="20" fillId="0" borderId="19" xfId="0" applyFont="1" applyBorder="1" applyAlignment="1">
      <alignment horizontal="center" vertical="center"/>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45" fillId="0" borderId="7" xfId="0" applyFont="1" applyBorder="1" applyAlignment="1">
      <alignment horizontal="left" vertical="center" indent="1"/>
    </xf>
    <xf numFmtId="0" fontId="45" fillId="0" borderId="19" xfId="0" applyFont="1" applyBorder="1" applyAlignment="1">
      <alignment horizontal="left" vertical="center" indent="1"/>
    </xf>
    <xf numFmtId="0" fontId="28" fillId="14" borderId="82"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9" xfId="0" applyFont="1" applyBorder="1" applyAlignment="1">
      <alignment horizontal="left" vertical="center" indent="1"/>
    </xf>
    <xf numFmtId="185" fontId="17" fillId="0" borderId="7" xfId="0" applyNumberFormat="1"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28" fillId="14" borderId="20" xfId="0" applyFont="1" applyFill="1" applyBorder="1" applyAlignment="1">
      <alignment horizontal="right" vertical="center" indent="1"/>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0" fillId="0" borderId="20" xfId="0"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15" borderId="7" xfId="0" applyFont="1" applyFill="1" applyBorder="1" applyAlignment="1">
      <alignment horizontal="right" vertical="center" indent="1"/>
    </xf>
    <xf numFmtId="1" fontId="17" fillId="0" borderId="0" xfId="0" applyNumberFormat="1" applyFont="1" applyAlignment="1">
      <alignment horizontal="center" vertical="center"/>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52" fillId="0" borderId="7" xfId="0" applyFont="1" applyBorder="1" applyAlignment="1">
      <alignment horizontal="center" vertical="center"/>
    </xf>
    <xf numFmtId="0" fontId="12" fillId="27" borderId="20" xfId="0" applyFont="1" applyFill="1" applyBorder="1" applyAlignment="1">
      <alignment horizontal="left" vertical="center" indent="1"/>
    </xf>
    <xf numFmtId="0" fontId="14" fillId="0" borderId="0" xfId="0" applyFont="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28" fillId="18" borderId="7" xfId="0" applyFont="1" applyFill="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12" fillId="15" borderId="7" xfId="0" applyFont="1" applyFill="1" applyBorder="1" applyAlignment="1">
      <alignment horizontal="left" vertical="center" indent="1"/>
    </xf>
    <xf numFmtId="0" fontId="26" fillId="0" borderId="12" xfId="0" applyFont="1" applyBorder="1" applyAlignment="1">
      <alignment horizontal="center" vertical="top" wrapText="1"/>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7" fillId="0" borderId="0" xfId="0" applyFont="1" applyAlignment="1">
      <alignment horizontal="left" vertical="top" wrapText="1"/>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3" fillId="0" borderId="80" xfId="0" applyFont="1" applyBorder="1" applyAlignment="1">
      <alignment horizontal="center" vertical="center"/>
    </xf>
    <xf numFmtId="0" fontId="27" fillId="0" borderId="0" xfId="0" applyFont="1" applyAlignment="1">
      <alignment horizontal="center" vertical="center"/>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3" fillId="0" borderId="80" xfId="0" applyNumberFormat="1" applyFont="1" applyBorder="1" applyAlignment="1">
      <alignment horizontal="center" vertical="center"/>
    </xf>
    <xf numFmtId="0" fontId="20" fillId="0" borderId="155" xfId="0" applyFont="1" applyBorder="1" applyAlignment="1">
      <alignment horizontal="left" vertical="center" indent="1"/>
    </xf>
    <xf numFmtId="194" fontId="3" fillId="4" borderId="152" xfId="0" applyNumberFormat="1" applyFont="1" applyFill="1" applyBorder="1" applyAlignment="1">
      <alignment horizontal="center" vertical="center"/>
    </xf>
    <xf numFmtId="194" fontId="3" fillId="4" borderId="123" xfId="0" applyNumberFormat="1" applyFont="1" applyFill="1" applyBorder="1" applyAlignment="1">
      <alignment horizontal="center" vertical="center"/>
    </xf>
    <xf numFmtId="194" fontId="3" fillId="4" borderId="156" xfId="0" applyNumberFormat="1" applyFont="1" applyFill="1" applyBorder="1" applyAlignment="1">
      <alignment horizontal="center" vertical="center"/>
    </xf>
    <xf numFmtId="0" fontId="18" fillId="22" borderId="7" xfId="0" applyFont="1" applyFill="1" applyBorder="1" applyAlignment="1">
      <alignment horizontal="center" vertical="center"/>
    </xf>
    <xf numFmtId="0" fontId="9" fillId="4" borderId="158" xfId="0" applyFont="1" applyFill="1" applyBorder="1" applyAlignment="1">
      <alignment horizontal="left" vertical="center"/>
    </xf>
    <xf numFmtId="0" fontId="14" fillId="4" borderId="7" xfId="0"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2" fillId="27" borderId="159" xfId="0" applyFont="1" applyFill="1" applyBorder="1" applyAlignment="1">
      <alignment horizontal="center" vertical="center"/>
    </xf>
    <xf numFmtId="190" fontId="14" fillId="4" borderId="7" xfId="0" applyNumberFormat="1" applyFont="1" applyFill="1" applyBorder="1" applyAlignment="1" applyProtection="1">
      <alignment horizontal="left" vertical="center" indent="1"/>
      <protection locked="0"/>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5" fillId="0" borderId="0" xfId="0" applyFont="1" applyAlignment="1">
      <alignment horizontal="center"/>
    </xf>
    <xf numFmtId="0" fontId="16" fillId="0" borderId="0" xfId="0" applyFont="1" applyAlignment="1">
      <alignment horizontal="left" vertical="top" wrapText="1" indent="1"/>
    </xf>
    <xf numFmtId="164" fontId="21" fillId="0" borderId="7" xfId="0" applyNumberFormat="1" applyFont="1" applyBorder="1" applyAlignment="1">
      <alignment horizontal="right" indent="1"/>
    </xf>
    <xf numFmtId="0" fontId="14" fillId="0" borderId="0" xfId="0" applyFont="1" applyAlignment="1">
      <alignment horizontal="left" vertical="center"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5" fillId="0" borderId="0" xfId="0" applyFont="1" applyAlignment="1">
      <alignment horizontal="center" vertical="center"/>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117" fillId="0" borderId="0" xfId="0" applyFont="1" applyAlignment="1">
      <alignment horizontal="center" vertical="center"/>
    </xf>
    <xf numFmtId="0" fontId="4" fillId="59" borderId="0" xfId="0" applyFont="1" applyFill="1" applyAlignment="1">
      <alignment horizontal="center" wrapText="1"/>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0" fontId="20" fillId="84" borderId="146" xfId="0" applyFont="1" applyFill="1" applyBorder="1" applyAlignment="1">
      <alignment horizontal="center" vertical="center"/>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4"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cellXfs>
  <cellStyles count="20">
    <cellStyle name="Comma" xfId="1" builtinId="3"/>
    <cellStyle name="Currency" xfId="2" builtinId="4"/>
    <cellStyle name="Currency 2" xfId="4"/>
    <cellStyle name="Currency 2 2" xfId="5"/>
    <cellStyle name="Hyperlink 2" xfId="6"/>
    <cellStyle name="Normal" xfId="0" builtinId="0"/>
    <cellStyle name="Normal 2" xfId="7"/>
    <cellStyle name="Normal 2 2" xfId="8"/>
    <cellStyle name="Normal 3" xfId="9"/>
    <cellStyle name="Normal 3 2" xfId="10"/>
    <cellStyle name="Normal 4" xfId="11"/>
    <cellStyle name="Normal 4 2" xfId="12"/>
    <cellStyle name="Normal 5" xfId="13"/>
    <cellStyle name="Normal 5 2" xfId="14"/>
    <cellStyle name="Normal 5 3" xfId="15"/>
    <cellStyle name="Normal 6" xfId="16"/>
    <cellStyle name="Normal 6 2" xfId="17"/>
    <cellStyle name="Normal 7" xfId="18"/>
    <cellStyle name="Percent" xfId="3" builtinId="5"/>
    <cellStyle name="Percent 2" xfId="19"/>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theme="1"/>
      </font>
      <fill>
        <patternFill>
          <bgColor theme="0" tint="-0.14996795556505021"/>
        </patternFill>
      </fill>
    </dxf>
    <dxf>
      <font>
        <color theme="1"/>
      </font>
      <fill>
        <patternFill>
          <bgColor theme="0" tint="-0.14996795556505021"/>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theme="1"/>
      </font>
      <fill>
        <patternFill>
          <bgColor theme="0" tint="-0.14996795556505021"/>
        </patternFill>
      </fill>
    </dxf>
    <dxf>
      <font>
        <color theme="1"/>
      </font>
      <fill>
        <patternFill>
          <bgColor theme="0" tint="-0.14996795556505021"/>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171450</xdr:colOff>
          <xdr:row>32</xdr:row>
          <xdr:rowOff>885825</xdr:rowOff>
        </xdr:from>
        <xdr:to>
          <xdr:col>5</xdr:col>
          <xdr:colOff>476250</xdr:colOff>
          <xdr:row>33</xdr:row>
          <xdr:rowOff>247650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List1" displayName="List1" ref="R11:R26" totalsRowShown="0">
  <tableColumns count="1">
    <tableColumn id="1" name="Column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pageSetUpPr autoPageBreaks="0" fitToPage="1"/>
  </sheetPr>
  <dimension ref="A1:AMK189"/>
  <sheetViews>
    <sheetView showGridLines="0" showZeros="0" tabSelected="1" zoomScale="85" zoomScaleNormal="85" workbookViewId="0">
      <selection activeCell="D10" sqref="D10:E10"/>
    </sheetView>
  </sheetViews>
  <sheetFormatPr defaultColWidth="16.42578125" defaultRowHeight="12.75" x14ac:dyDescent="0.2"/>
  <cols>
    <col min="1" max="1" width="2.5703125" style="1" customWidth="1"/>
    <col min="2" max="2" width="50.28515625" style="1" customWidth="1"/>
    <col min="3" max="3" width="15.7109375" style="1" customWidth="1"/>
    <col min="4" max="4" width="22.85546875" style="1" customWidth="1"/>
    <col min="5" max="5" width="23.28515625" style="1" customWidth="1"/>
    <col min="6" max="6" width="19.42578125" style="1" customWidth="1"/>
    <col min="7" max="7" width="19.7109375" style="1" customWidth="1"/>
    <col min="8" max="8" width="22.7109375" style="1" customWidth="1"/>
    <col min="9" max="9" width="7.28515625" style="1" customWidth="1"/>
    <col min="10" max="10" width="44.140625" style="1" customWidth="1"/>
    <col min="11" max="11" width="38.5703125" style="1" hidden="1" customWidth="1"/>
    <col min="12" max="12" width="38.5703125" style="26" hidden="1" customWidth="1"/>
    <col min="13" max="13" width="47.140625" style="1" hidden="1" customWidth="1"/>
    <col min="14" max="14" width="14.5703125" style="1" hidden="1" customWidth="1"/>
    <col min="15" max="15" width="17.7109375" style="1" hidden="1" customWidth="1"/>
    <col min="16" max="26" width="38.5703125" style="1" hidden="1" customWidth="1"/>
    <col min="27" max="31" width="38.5703125" style="1" customWidth="1"/>
    <col min="32" max="34" width="38.5703125" style="1" hidden="1" customWidth="1"/>
    <col min="35" max="37" width="38.5703125" style="1" customWidth="1"/>
    <col min="38" max="38" width="38.5703125" customWidth="1"/>
    <col min="39" max="39" width="38.5703125" style="1" customWidth="1"/>
    <col min="40" max="261" width="9.140625" style="1" customWidth="1"/>
    <col min="262" max="1025" width="16.42578125" style="1"/>
  </cols>
  <sheetData>
    <row r="1" spans="1:43" ht="33.75" customHeight="1" x14ac:dyDescent="0.4">
      <c r="B1" s="1337" t="str">
        <f>IF(L10=2, "Configuration des données","Data Set up")</f>
        <v>Data Set up</v>
      </c>
      <c r="C1" s="1337"/>
      <c r="D1" s="1337"/>
      <c r="E1" s="1337"/>
      <c r="F1" s="1337"/>
      <c r="G1" s="1337"/>
      <c r="H1" s="1337"/>
      <c r="I1" s="1337"/>
      <c r="J1" s="1337"/>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2">
      <c r="B2" s="1338" t="str">
        <f>C10&amp;" "&amp;D10</f>
        <v xml:space="preserve">SSC </v>
      </c>
      <c r="C2" s="1338"/>
      <c r="D2" s="1338"/>
      <c r="E2" s="1338"/>
      <c r="F2" s="1338"/>
      <c r="G2" s="1338"/>
      <c r="H2" s="1338"/>
      <c r="I2" s="1338"/>
      <c r="J2" s="1338"/>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2">
      <c r="B3" s="1339" t="str">
        <f>IF(L10=2,"Année fiscale "&amp;F31&amp;" - "&amp;G31,"Fiscal Year "&amp;F31&amp;" - "&amp;G31)</f>
        <v>Fiscal Year 2024 - 2025</v>
      </c>
      <c r="C3" s="1339"/>
      <c r="D3" s="1339"/>
      <c r="E3" s="1339"/>
      <c r="F3" s="1339"/>
      <c r="G3" s="1339"/>
      <c r="H3" s="1339"/>
      <c r="I3" s="1339"/>
      <c r="J3" s="1339"/>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2">
      <c r="A4" s="1"/>
      <c r="B4" s="1340"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Enter information from last year's ACC9, the info on SSC and balances of your assets/liabilities.
Please fill in all of the grey boxes below.</v>
      </c>
      <c r="C4" s="1340"/>
      <c r="D4" s="1003"/>
      <c r="E4" s="1004"/>
      <c r="F4" s="1004"/>
      <c r="G4" s="1341"/>
      <c r="H4" s="1341"/>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2">
      <c r="A5" s="2"/>
      <c r="B5" s="1340"/>
      <c r="C5" s="1340"/>
      <c r="D5" s="1346" t="str">
        <f>IF(L10=2,"Choisissez la langue","Choose the language")</f>
        <v>Choose the language</v>
      </c>
      <c r="E5" s="1346"/>
      <c r="F5" s="1346"/>
      <c r="G5" s="1342" t="s">
        <v>541</v>
      </c>
      <c r="H5" s="1342"/>
      <c r="I5" s="1005"/>
      <c r="K5" s="12"/>
      <c r="L5" s="19" t="str">
        <f>IF(G32=8,L6&amp;"-"&amp;"08-"&amp;L8,L6&amp;"-"&amp;"06-"&amp;L8)</f>
        <v>2024-08-31</v>
      </c>
      <c r="M5" s="1007">
        <f>L5+1</f>
        <v>45536</v>
      </c>
      <c r="N5" s="1007" t="str">
        <f>TEXT(M5,"yyyy-mm-dd")</f>
        <v>2024-09-01</v>
      </c>
      <c r="O5" s="602">
        <f>M5</f>
        <v>45536</v>
      </c>
      <c r="P5" s="12"/>
      <c r="Q5" s="12"/>
      <c r="R5" s="12"/>
      <c r="S5" s="12"/>
      <c r="T5" s="12"/>
      <c r="U5" s="12"/>
      <c r="V5" s="12"/>
      <c r="W5" s="12"/>
      <c r="X5" s="12"/>
      <c r="Y5" s="12"/>
      <c r="Z5" s="12"/>
      <c r="AA5" s="20"/>
      <c r="AB5" s="12"/>
      <c r="AC5" s="12"/>
      <c r="AD5" s="12"/>
      <c r="AE5" s="12"/>
      <c r="AF5" s="1008"/>
      <c r="AG5" s="12" t="s">
        <v>1</v>
      </c>
      <c r="AH5" s="1008"/>
    </row>
    <row r="6" spans="1:43" ht="32.25" customHeight="1" x14ac:dyDescent="0.2">
      <c r="B6" s="1340"/>
      <c r="C6" s="1340"/>
      <c r="D6" s="1346"/>
      <c r="E6" s="1346"/>
      <c r="F6" s="1346"/>
      <c r="G6" s="1342"/>
      <c r="H6" s="1342"/>
      <c r="I6" s="1005"/>
      <c r="J6" s="1009" t="s">
        <v>560</v>
      </c>
      <c r="K6" s="12"/>
      <c r="L6" s="19">
        <f>F31</f>
        <v>2024</v>
      </c>
      <c r="M6" s="1007">
        <f>L5+365</f>
        <v>45900</v>
      </c>
      <c r="N6" s="1007" t="str">
        <f>TEXT(M6,"yyyy-mm-dd")</f>
        <v>2025-08-31</v>
      </c>
      <c r="O6" s="12"/>
      <c r="P6" s="12"/>
      <c r="Q6" s="12"/>
      <c r="R6" s="12"/>
      <c r="S6" s="12"/>
      <c r="T6" s="12"/>
      <c r="U6" s="12"/>
      <c r="V6" s="12"/>
      <c r="W6" s="12"/>
      <c r="X6" s="12"/>
      <c r="Y6" s="12"/>
      <c r="Z6" s="12"/>
      <c r="AA6" s="20"/>
      <c r="AB6" s="12"/>
      <c r="AC6" s="12"/>
      <c r="AD6" s="12"/>
      <c r="AE6" s="12"/>
      <c r="AF6" s="12"/>
      <c r="AG6" s="12" t="s">
        <v>2</v>
      </c>
    </row>
    <row r="7" spans="1:43" ht="27" customHeight="1" thickBot="1" x14ac:dyDescent="0.25">
      <c r="E7" s="3"/>
      <c r="F7" s="3"/>
      <c r="G7" s="3"/>
      <c r="K7" s="12"/>
      <c r="L7" s="19">
        <f>G32</f>
        <v>8</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25">
      <c r="B8" s="1343" t="str">
        <f>IF(L10=2,"A - Comité répondant d'escadron (CRE)","A - Squadron Sponsored Committee (SSC)")</f>
        <v>A - Squadron Sponsored Committee (SSC)</v>
      </c>
      <c r="C8" s="1344"/>
      <c r="D8" s="1345"/>
      <c r="F8" s="1347" t="str">
        <f>IF(L10=2,"C - Escadron (Esc)","C - Squadron (Sqn)")</f>
        <v>C - Squadron (Sqn)</v>
      </c>
      <c r="G8" s="1348"/>
      <c r="H8" s="1348"/>
      <c r="I8" s="1348"/>
      <c r="J8" s="1349"/>
      <c r="K8" s="12"/>
      <c r="L8" s="19">
        <f>F32</f>
        <v>31</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25">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25">
      <c r="B10" s="1073" t="str">
        <f>IF(L10=2,"Nom du CRE","SSC`s Name")</f>
        <v>SSC`s Name</v>
      </c>
      <c r="C10" s="1191" t="str">
        <f>IF(L10=2,"CRE","SSC")</f>
        <v>SSC</v>
      </c>
      <c r="D10" s="1405"/>
      <c r="E10" s="1406"/>
      <c r="F10" s="1358" t="str">
        <f>IF(L10=2,"Numéro d'escadron :","Squadron Number :")</f>
        <v>Squadron Number :</v>
      </c>
      <c r="G10" s="1359"/>
      <c r="H10" s="6"/>
      <c r="I10" s="7"/>
      <c r="J10" s="7"/>
      <c r="K10" s="12"/>
      <c r="L10" s="15">
        <f>IF(G5="Français",2,1)</f>
        <v>1</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25">
      <c r="B11" s="1074" t="str">
        <f>IF(L10=2,"Juridiction provinciale du Comité","Provincial Committee Jurisdiction")</f>
        <v>Provincial Committee Jurisdiction</v>
      </c>
      <c r="C11" s="1433" t="s">
        <v>563</v>
      </c>
      <c r="D11" s="1434"/>
      <c r="E11" s="1435"/>
      <c r="F11" s="1070"/>
      <c r="G11" s="1071"/>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2">
      <c r="B12" s="1083" t="str">
        <f>IF(L10=2,"Adresse postale","Mailing Address")</f>
        <v>Mailing Address</v>
      </c>
      <c r="C12" s="1436"/>
      <c r="D12" s="1437"/>
      <c r="E12" s="1438"/>
      <c r="F12" s="1451" t="str">
        <f>IF(L10=2,"Nom de l'escadron :","Squadron Name :")</f>
        <v>Squadron Name :</v>
      </c>
      <c r="G12" s="1452"/>
      <c r="H12" s="1459"/>
      <c r="I12" s="1460"/>
      <c r="J12" s="1461"/>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2">
      <c r="B13" s="1083" t="str">
        <f>IF(L10=2," Ville, Prov","City,  Prov.")</f>
        <v>City,  Prov.</v>
      </c>
      <c r="C13" s="1416"/>
      <c r="D13" s="1439"/>
      <c r="E13" s="1417"/>
      <c r="F13" s="1070"/>
      <c r="G13" s="1072"/>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2">
      <c r="B14" s="1083" t="str">
        <f>IF(L10=2,"Code Postal","Postal Code")</f>
        <v>Postal Code</v>
      </c>
      <c r="C14" s="1416"/>
      <c r="D14" s="1439"/>
      <c r="E14" s="1417"/>
      <c r="F14" s="1428" t="str">
        <f>IF(L10=2,"Nom du commandant:","Commanding Officer's Name:")</f>
        <v>Commanding Officer's Name:</v>
      </c>
      <c r="G14" s="1453"/>
      <c r="H14" s="1462"/>
      <c r="I14" s="1463"/>
      <c r="J14" s="1464"/>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2">
      <c r="B15" s="1082" t="str">
        <f>IF(L10=2,"Nom du président","SSC Chairperson`s Name")</f>
        <v>SSC Chairperson`s Name</v>
      </c>
      <c r="C15" s="1440"/>
      <c r="D15" s="1441"/>
      <c r="E15" s="1442"/>
      <c r="F15" s="1070"/>
      <c r="G15" s="1072"/>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25">
      <c r="B16" s="1075" t="str">
        <f>IF(L10=2,"Courriel  du président","SSC Chairperson`s  email")</f>
        <v>SSC Chairperson`s  email</v>
      </c>
      <c r="C16" s="1443"/>
      <c r="D16" s="1444"/>
      <c r="E16" s="1445"/>
      <c r="F16" s="1451" t="str">
        <f>IF(L10=2,"Nombre de cadets :","Number of Cadets :")</f>
        <v>Number of Cadets :</v>
      </c>
      <c r="G16" s="1452"/>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25">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25">
      <c r="B18" s="1343" t="str">
        <f>IF(L10=2,"B - Organisme de bienfaisance (si applicable)","B - Charity Organization (if applicable)")</f>
        <v>B - Charity Organization (if applicable)</v>
      </c>
      <c r="C18" s="1344"/>
      <c r="D18" s="1345"/>
      <c r="F18" s="1343" t="str">
        <f>IF(L10=2,"D - Trésorerie du CRE","D - SSC Treasury")</f>
        <v>D - SSC Treasury</v>
      </c>
      <c r="G18" s="1344"/>
      <c r="H18" s="1344"/>
      <c r="I18" s="1344"/>
      <c r="J18" s="1345"/>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25">
      <c r="K19" s="12">
        <v>2024</v>
      </c>
      <c r="L19" s="9"/>
      <c r="M19" s="1">
        <f t="shared" si="0"/>
        <v>2025</v>
      </c>
      <c r="N19" s="12"/>
      <c r="O19" s="82" t="str">
        <f>IF($L$10=2,"Juridiction","Jurisdiction")</f>
        <v>Jurisdiction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25">
      <c r="B20" s="1367" t="str">
        <f>IF(L10=2,"L'escadron est-il un organisme sans but lucratif enregistré (Agence du revenu du Canada)?","Is the Squadron Sponsoring Committee a Registered Canadian Charity (CRA)?")</f>
        <v>Is the Squadron Sponsoring Committee a Registered Canadian Charity (CRA)?</v>
      </c>
      <c r="C20" s="1457"/>
      <c r="D20" s="1458"/>
      <c r="E20" s="1019"/>
      <c r="F20" s="1411" t="str">
        <f>IF(L10=2,"Nom de celui qui complétera le rapport financier :","Name of the person who will complete the Financial Report :")</f>
        <v>Name of the person who will complete the Financial Report :</v>
      </c>
      <c r="G20" s="1412"/>
      <c r="H20" s="1413"/>
      <c r="I20" s="1414"/>
      <c r="J20" s="1415"/>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25">
      <c r="B21" s="1368"/>
      <c r="C21" s="1350"/>
      <c r="D21" s="1351"/>
      <c r="F21" s="1424" t="str">
        <f>IF(L10=2,"Adresse postale :","Mailing Address :")</f>
        <v>Mailing Address :</v>
      </c>
      <c r="G21" s="1425"/>
      <c r="H21" s="1426"/>
      <c r="I21" s="1416"/>
      <c r="J21" s="1417"/>
      <c r="K21" s="12">
        <v>2026</v>
      </c>
      <c r="L21" s="9"/>
      <c r="M21" s="1">
        <f t="shared" si="0"/>
        <v>2027</v>
      </c>
      <c r="N21" s="80"/>
      <c r="O21" s="80" t="str">
        <f>IF($L$10=2,"Colombie-Britannique","British Columbia")</f>
        <v>British Columbia</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2">
      <c r="B22" s="1093" t="str">
        <f>IF(L10=2,"Si oui,  inscrire le numéro ici :","If yes,  insert number here :")</f>
        <v>If yes,  insert number here :</v>
      </c>
      <c r="C22" s="1467"/>
      <c r="D22" s="1468"/>
      <c r="F22" s="1424" t="str">
        <f>IF(L10=2," Ville, Prov, Code Postal :","City,  Prov. &amp; Postal Code :")</f>
        <v>City,  Prov. &amp; Postal Code :</v>
      </c>
      <c r="G22" s="1425"/>
      <c r="H22" s="1426"/>
      <c r="I22" s="1416"/>
      <c r="J22" s="1417"/>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25">
      <c r="B23" s="1093" t="str">
        <f>IF(L10=2,"No. D'entreprise (RT), si applicable :","Business # (RT), if applicable :")</f>
        <v>Business # (RT), if applicable :</v>
      </c>
      <c r="C23" s="1465"/>
      <c r="D23" s="1466"/>
      <c r="F23" s="1427" t="str">
        <f>IF(L10=2,"Téléphone (Résidence) :","Phone (Home) :")</f>
        <v>Phone (Home) :</v>
      </c>
      <c r="G23" s="1428"/>
      <c r="H23" s="1429"/>
      <c r="I23" s="1418"/>
      <c r="J23" s="1419"/>
      <c r="K23" s="12"/>
      <c r="L23" s="9"/>
      <c r="N23" s="80"/>
      <c r="O23" s="80" t="str">
        <f>IF($L$10=2,"Nouveau-Brunswick","New Brunswick")</f>
        <v>New 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25">
      <c r="B24" s="1369" t="str">
        <f>IF(L10=2,"Décl. renseignements des org. de bienfaisance enr. (T3010/TP-985.22-V) a-t-elle été soumise?","Was the past year's Registered Charity Information Return (Form T3010/TP-985.22-V) submitted?")</f>
        <v>Was the past year's Registered Charity Information Return (Form T3010/TP-985.22-V) submitted?</v>
      </c>
      <c r="C24" s="1457"/>
      <c r="D24" s="1458"/>
      <c r="F24" s="1427" t="str">
        <f>IF(L10=2,"Téléphone (Bureau ou Cellulaire) :","Phone (Work or Cell) :")</f>
        <v>Phone (Work or Cell) :</v>
      </c>
      <c r="G24" s="1428"/>
      <c r="H24" s="1429"/>
      <c r="I24" s="1420"/>
      <c r="J24" s="1421"/>
      <c r="K24" s="12"/>
      <c r="L24" s="9" t="str">
        <f>IF($L$10=2,"Résidence","Home")</f>
        <v>Home</v>
      </c>
      <c r="N24" s="80"/>
      <c r="O24" s="80" t="str">
        <f>IF($L$10=2,"Terre-Neuve","Newfoundland")</f>
        <v>Newfoundland</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25">
      <c r="B25" s="1370"/>
      <c r="C25" s="5"/>
      <c r="D25" s="1020"/>
      <c r="F25" s="1430" t="str">
        <f>IF(L10=2,"Courriel personnel :","Personal E-Mail :")</f>
        <v>Personal E-Mail :</v>
      </c>
      <c r="G25" s="1431"/>
      <c r="H25" s="1432"/>
      <c r="I25" s="1422"/>
      <c r="J25" s="1423"/>
      <c r="K25" s="12"/>
      <c r="L25" s="9" t="str">
        <f>IF($L$10=2,"Bureau","Office")</f>
        <v>Office</v>
      </c>
      <c r="N25" s="80"/>
      <c r="O25" s="80" t="str">
        <f>IF($L$10=2,"Nouvelle-Écosse","New Scotia")</f>
        <v>New Scotia</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25">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25">
      <c r="B27" s="1454" t="str">
        <f>IF(L10=2,"E - Informations financières du CRE","E - SSC Financial Informations")</f>
        <v>E - SSC Financial Informations</v>
      </c>
      <c r="C27" s="1455"/>
      <c r="D27" s="1455"/>
      <c r="E27" s="1455"/>
      <c r="F27" s="1455"/>
      <c r="G27" s="1455"/>
      <c r="H27" s="1455"/>
      <c r="I27" s="1455"/>
      <c r="J27" s="1456"/>
      <c r="K27" s="12"/>
      <c r="L27" s="25"/>
      <c r="N27" s="80"/>
      <c r="O27" s="80" t="str">
        <f>IF($L$10=2,"Ontario - Nord-Ouest","Ontario - Northwestern")</f>
        <v>Ontario - Northwestern</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25">
      <c r="B28" s="1021"/>
      <c r="C28" s="1022"/>
      <c r="D28" s="1022"/>
      <c r="K28" s="12"/>
      <c r="L28" s="25" t="str">
        <f>IF($L$10=2,"Oui","Yes")</f>
        <v>Yes</v>
      </c>
      <c r="N28" s="80"/>
      <c r="O28" s="80" t="str">
        <f>IF($L$10=2,"Île-Du-Prince-Édouard","Prince Edward Island")</f>
        <v>Prince Edward Island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25">
      <c r="B29" s="1334" t="str">
        <f>IF(L10=2,"E-1 - Période financière courante","E-1 - Current Financial Period")</f>
        <v>E-1 - Current Financial Period</v>
      </c>
      <c r="C29" s="1335"/>
      <c r="D29" s="1335"/>
      <c r="E29" s="1335"/>
      <c r="F29" s="1335"/>
      <c r="G29" s="1335"/>
      <c r="H29" s="1335"/>
      <c r="I29" s="1335"/>
      <c r="J29" s="1336"/>
      <c r="K29" s="12"/>
      <c r="L29" s="25" t="str">
        <f>IF($L$10=2,"Non","No")</f>
        <v>No</v>
      </c>
      <c r="N29" s="82"/>
      <c r="O29" s="82" t="str">
        <f>IF($L$10=2,"Québec et Vallée de l'Outaouais","Québec and Ottawa Valley")</f>
        <v>Québec and Ottawa Valley</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25">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25">
      <c r="C31" s="1409" t="str">
        <f>IF(L10=2,"Choisissez l'année du rapport financier","Select the Reporting Year")</f>
        <v>Select the Reporting Year</v>
      </c>
      <c r="D31" s="1409"/>
      <c r="E31" s="1410"/>
      <c r="F31" s="1062">
        <v>2024</v>
      </c>
      <c r="G31" s="1061">
        <f>IF(F31="","",F31+1)</f>
        <v>2025</v>
      </c>
      <c r="K31" s="12"/>
      <c r="L31" s="12"/>
      <c r="N31" s="80"/>
      <c r="O31" s="80" t="str">
        <f>IF($L$10=2,"Territoires","Territories")</f>
        <v>Territories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25">
      <c r="B32" s="1023"/>
      <c r="C32" s="1407" t="str">
        <f>IF(L10=2,"Date de fin d'exercice","Date for Year-End")</f>
        <v>Date for Year-End</v>
      </c>
      <c r="D32" s="1407"/>
      <c r="E32" s="1408"/>
      <c r="F32" s="1081">
        <f>IF(G32=6,30,IF(G32=8,31,""))</f>
        <v>31</v>
      </c>
      <c r="G32" s="1062">
        <v>8</v>
      </c>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2">
      <c r="D33" s="1023"/>
      <c r="F33" s="1084" t="str">
        <f>IF(L10=2,"jour","Day")</f>
        <v>Day</v>
      </c>
      <c r="G33" s="1024" t="str">
        <f>IF(L10=2,"mois","Month")</f>
        <v>Month</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2">
      <c r="B34" s="1305"/>
      <c r="C34" s="1305"/>
      <c r="D34" s="1305"/>
      <c r="E34" s="1305"/>
      <c r="F34" s="1305"/>
      <c r="G34" s="1305"/>
      <c r="H34" s="1305"/>
      <c r="I34" s="1305"/>
      <c r="J34" s="1305"/>
      <c r="K34" s="12"/>
      <c r="L34" s="12"/>
      <c r="M34" s="12" t="str">
        <f>IF(L10=2,"Les informations de l'année précédente sont exactes","Previous Year's information is correct")</f>
        <v>Previous Year's information is correct</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2">
      <c r="K35" s="12"/>
      <c r="L35" s="12"/>
      <c r="M35" s="12" t="s">
        <v>561</v>
      </c>
      <c r="N35" s="12"/>
      <c r="O35" s="80"/>
      <c r="P35" s="12"/>
      <c r="Q35" s="12"/>
      <c r="R35" s="80"/>
      <c r="S35" s="80"/>
      <c r="T35" s="12"/>
      <c r="U35" s="12"/>
      <c r="V35" s="12"/>
      <c r="W35" s="12"/>
      <c r="X35" s="12"/>
      <c r="Y35" s="12"/>
      <c r="Z35" s="12"/>
      <c r="AA35" s="12"/>
      <c r="AB35" s="12"/>
      <c r="AC35" s="12"/>
      <c r="AE35" s="12"/>
      <c r="AF35" s="12"/>
      <c r="AG35" s="1304" t="str">
        <f t="shared" ref="AG35:AG43" si="2">LEFT($F64,4)</f>
        <v>1210</v>
      </c>
      <c r="AL35" s="1"/>
    </row>
    <row r="36" spans="1:38" ht="30" hidden="1" customHeight="1" x14ac:dyDescent="0.2">
      <c r="C36" s="1299"/>
      <c r="D36" s="1299"/>
      <c r="E36" s="1299"/>
      <c r="F36" s="1299"/>
      <c r="G36" s="1301"/>
      <c r="J36" s="1113"/>
      <c r="K36" s="12"/>
      <c r="L36" s="25">
        <v>6</v>
      </c>
      <c r="M36" s="12" t="str">
        <f t="shared" ref="M36:M53" si="3">CONCATENATE($F45,$G45)</f>
        <v>1010 -Other Cash in hand</v>
      </c>
      <c r="N36" s="12" t="str">
        <f>M36</f>
        <v>1010 -Other Cash in hand</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2">
      <c r="B37" s="1085"/>
      <c r="C37" s="1085"/>
      <c r="D37" s="7"/>
      <c r="E37" s="7"/>
      <c r="F37" s="7"/>
      <c r="G37" s="1302"/>
      <c r="H37" s="1300"/>
      <c r="I37" s="1300"/>
      <c r="J37" s="1113"/>
      <c r="K37" s="12"/>
      <c r="L37" s="25">
        <v>8</v>
      </c>
      <c r="M37" s="12" t="str">
        <f t="shared" si="3"/>
        <v>1015 -Main Bank Account</v>
      </c>
      <c r="N37" s="12" t="str">
        <f t="shared" ref="N37:N80" si="4">M37</f>
        <v>1015 -Main Bank Account</v>
      </c>
      <c r="O37" s="80"/>
      <c r="P37" s="12"/>
      <c r="Q37" s="12"/>
      <c r="V37" s="12"/>
      <c r="W37" s="12"/>
      <c r="X37" s="12"/>
      <c r="Z37" s="12"/>
      <c r="AA37" s="12"/>
      <c r="AB37" s="12"/>
      <c r="AC37" s="12"/>
      <c r="AD37" s="12"/>
      <c r="AE37" s="12"/>
      <c r="AF37" s="12"/>
      <c r="AG37" s="1018" t="str">
        <f t="shared" si="2"/>
        <v>1230</v>
      </c>
      <c r="AL37" s="1"/>
    </row>
    <row r="38" spans="1:38" ht="30" hidden="1" customHeight="1" x14ac:dyDescent="0.2">
      <c r="B38" s="1085"/>
      <c r="C38" s="1085"/>
      <c r="D38" s="7"/>
      <c r="E38" s="7"/>
      <c r="F38" s="7"/>
      <c r="G38" s="1303"/>
      <c r="H38" s="1300"/>
      <c r="I38" s="1300"/>
      <c r="J38" s="1113"/>
      <c r="K38" s="12">
        <v>31</v>
      </c>
      <c r="L38" s="12" t="s">
        <v>29</v>
      </c>
      <c r="M38" s="12" t="str">
        <f t="shared" si="3"/>
        <v>1020 -Canteen</v>
      </c>
      <c r="N38" s="12" t="str">
        <f t="shared" si="4"/>
        <v>1020 -Canteen</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2">
      <c r="B39" s="1085"/>
      <c r="C39" s="1085"/>
      <c r="D39" s="7"/>
      <c r="E39" s="7"/>
      <c r="F39" s="7"/>
      <c r="G39" s="1303"/>
      <c r="H39" s="1300"/>
      <c r="I39" s="1300"/>
      <c r="K39" s="12"/>
      <c r="L39" s="19"/>
      <c r="M39" s="12" t="str">
        <f t="shared" si="3"/>
        <v>1025 -Petty Cash</v>
      </c>
      <c r="N39" s="12" t="str">
        <f t="shared" si="4"/>
        <v>1025 -Petty Cash</v>
      </c>
      <c r="O39" s="12"/>
      <c r="P39" s="12" t="str">
        <f>CONCATENATE(F32," ",G32)</f>
        <v>31 8</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25">
      <c r="B40" s="2"/>
      <c r="C40" s="2"/>
      <c r="D40" s="2"/>
      <c r="E40" s="2"/>
      <c r="F40" s="2"/>
      <c r="G40" s="2"/>
      <c r="H40" s="2"/>
      <c r="I40" s="2"/>
      <c r="J40" s="2"/>
      <c r="K40" s="12"/>
      <c r="L40" s="19">
        <f>IF(OR($G$32="June",$G32="Juin"),6,8)</f>
        <v>8</v>
      </c>
      <c r="M40" s="12" t="str">
        <f t="shared" si="3"/>
        <v>1030 -Receivables - Short Term</v>
      </c>
      <c r="N40" s="12" t="str">
        <f t="shared" si="4"/>
        <v>1030 -Receivables - Short Term</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25">
      <c r="A41" s="1"/>
      <c r="B41" s="1334" t="str">
        <f>IF(L10=2,"E-2 - Données de l'ACC9 de l`année précédente (Informations sur les comptes)","E-2 - Last Year's ACC9 Information (Informations on accounts)")</f>
        <v>E-2 - Last Year's ACC9 Information (Informations on accounts)</v>
      </c>
      <c r="C41" s="1335"/>
      <c r="D41" s="1335"/>
      <c r="E41" s="1335"/>
      <c r="F41" s="1335"/>
      <c r="G41" s="1335"/>
      <c r="H41" s="1335"/>
      <c r="I41" s="1335"/>
      <c r="J41" s="1336"/>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2">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2">
      <c r="A43" s="1"/>
      <c r="B43" s="1"/>
      <c r="C43" s="1026"/>
      <c r="D43" s="1027"/>
      <c r="E43" s="1028"/>
      <c r="F43" s="1402" t="str">
        <f>IF(L10=2,"Comptes d'actif","Asset Accounts")</f>
        <v>Asset Accounts</v>
      </c>
      <c r="G43" s="1402"/>
      <c r="H43" s="1402"/>
      <c r="I43" s="1403"/>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25">
      <c r="C44" s="1104"/>
      <c r="D44" s="1101" t="str">
        <f>IF($L$10=2,"Soldes à l'ouverture","Opening Balances")</f>
        <v>Opening Balances</v>
      </c>
      <c r="E44" s="1103"/>
      <c r="F44" s="1375"/>
      <c r="G44" s="1375"/>
      <c r="H44" s="1375"/>
      <c r="I44" s="1376"/>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2">
      <c r="C45" s="1371" t="str">
        <f>IF(L10=2,"Actif à court terme","Current Assets")</f>
        <v>Current Assets</v>
      </c>
      <c r="D45" s="1094"/>
      <c r="F45" s="1067" t="s">
        <v>533</v>
      </c>
      <c r="G45" s="1404" t="str">
        <f>IF(L10=2,"Autres argents en main","Other Cash in hand")</f>
        <v>Other Cash in hand</v>
      </c>
      <c r="H45" s="1404"/>
      <c r="I45" s="1404"/>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2">
      <c r="C46" s="1371"/>
      <c r="D46" s="1095"/>
      <c r="E46" s="9"/>
      <c r="F46" s="1067" t="s">
        <v>493</v>
      </c>
      <c r="G46" s="1404" t="str">
        <f>IF(L10=2,"Compte bancaire principal","Main Bank Account")</f>
        <v>Main Bank Account</v>
      </c>
      <c r="H46" s="1404"/>
      <c r="I46" s="1404"/>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2">
      <c r="C47" s="1371"/>
      <c r="D47" s="1096"/>
      <c r="E47" s="9"/>
      <c r="F47" s="1067" t="s">
        <v>494</v>
      </c>
      <c r="G47" s="1404" t="str">
        <f>IF(L10=2,"Cantine","Canteen")</f>
        <v>Canteen</v>
      </c>
      <c r="H47" s="1404"/>
      <c r="I47" s="1404"/>
      <c r="K47" s="296" t="str">
        <f>LOOKUP(H125,R20:S37)</f>
        <v>N</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2">
      <c r="C48" s="1371"/>
      <c r="D48" s="1095"/>
      <c r="E48" s="9"/>
      <c r="F48" s="1067" t="s">
        <v>495</v>
      </c>
      <c r="G48" s="1404" t="str">
        <f>IF($L$10=2,"Petite caisse","Petty Cash")</f>
        <v>Petty Cash</v>
      </c>
      <c r="H48" s="1404"/>
      <c r="I48" s="1404"/>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2">
      <c r="C49" s="1371"/>
      <c r="D49" s="1095"/>
      <c r="E49" s="9"/>
      <c r="F49" s="1068" t="s">
        <v>496</v>
      </c>
      <c r="G49" s="1404" t="str">
        <f>IF(L10=2,"Comptes à recevoir - Court terme","Receivables - Short Term")</f>
        <v>Receivables - Short Term</v>
      </c>
      <c r="H49" s="1404"/>
      <c r="I49" s="1404"/>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2">
      <c r="C50" s="1371"/>
      <c r="D50" s="1095"/>
      <c r="E50" s="9"/>
      <c r="F50" s="1068" t="s">
        <v>497</v>
      </c>
      <c r="G50" s="1381" t="s">
        <v>540</v>
      </c>
      <c r="H50" s="1381"/>
      <c r="I50" s="1381"/>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2">
      <c r="C51" s="1371"/>
      <c r="D51" s="1095"/>
      <c r="E51" s="9"/>
      <c r="F51" s="1068" t="s">
        <v>498</v>
      </c>
      <c r="G51" s="1381" t="s">
        <v>540</v>
      </c>
      <c r="H51" s="1381"/>
      <c r="I51" s="1381"/>
      <c r="M51" s="12" t="str">
        <f t="shared" si="3"/>
        <v>1085 -Disponible ~ Available</v>
      </c>
      <c r="N51" s="12" t="str">
        <f t="shared" si="4"/>
        <v>1085 -Disponible ~ Available</v>
      </c>
      <c r="X51" s="12"/>
      <c r="AG51" s="1018" t="str">
        <f t="shared" si="5"/>
        <v>2080</v>
      </c>
      <c r="AL51" s="1"/>
    </row>
    <row r="52" spans="1:38" ht="30" customHeight="1" x14ac:dyDescent="0.2">
      <c r="C52" s="1371"/>
      <c r="D52" s="1095"/>
      <c r="E52" s="9"/>
      <c r="F52" s="1068" t="s">
        <v>499</v>
      </c>
      <c r="G52" s="1381" t="s">
        <v>540</v>
      </c>
      <c r="H52" s="1381"/>
      <c r="I52" s="1381"/>
      <c r="M52" s="12" t="str">
        <f t="shared" si="3"/>
        <v>1090 -Disponible ~ Available</v>
      </c>
      <c r="N52" s="12" t="str">
        <f t="shared" si="4"/>
        <v>1090 -Disponible ~ Available</v>
      </c>
      <c r="AG52" s="1018" t="str">
        <f t="shared" si="5"/>
        <v>2090</v>
      </c>
    </row>
    <row r="53" spans="1:38" ht="30" customHeight="1" x14ac:dyDescent="0.2">
      <c r="C53" s="1371"/>
      <c r="D53" s="1095"/>
      <c r="E53" s="9"/>
      <c r="F53" s="1068" t="s">
        <v>500</v>
      </c>
      <c r="G53" s="1381" t="s">
        <v>540</v>
      </c>
      <c r="H53" s="1381"/>
      <c r="I53" s="1381"/>
      <c r="M53" s="12" t="str">
        <f t="shared" si="3"/>
        <v>1095 -Disponible ~ Available</v>
      </c>
      <c r="N53" s="12" t="str">
        <f t="shared" si="4"/>
        <v>1095 -Disponible ~ Available</v>
      </c>
      <c r="AG53" s="1018" t="str">
        <f t="shared" ref="AG53:AG61" si="6">LEFT($F86,4)</f>
        <v>2210</v>
      </c>
    </row>
    <row r="54" spans="1:38" ht="30" customHeight="1" x14ac:dyDescent="0.2">
      <c r="C54" s="1371"/>
      <c r="D54" s="1095"/>
      <c r="F54" s="1068" t="s">
        <v>501</v>
      </c>
      <c r="G54" s="1381" t="s">
        <v>540</v>
      </c>
      <c r="H54" s="1381"/>
      <c r="I54" s="1381"/>
      <c r="L54" s="1"/>
      <c r="M54" s="12" t="str">
        <f t="shared" ref="M54:M62" si="7">CONCATENATE($F64,$G64)</f>
        <v>1210 -Investments GICs</v>
      </c>
      <c r="N54" s="12" t="str">
        <f t="shared" si="4"/>
        <v>1210 -Investments GICs</v>
      </c>
      <c r="AG54" s="1018" t="str">
        <f t="shared" si="6"/>
        <v>2220</v>
      </c>
    </row>
    <row r="55" spans="1:38" ht="30" customHeight="1" x14ac:dyDescent="0.2">
      <c r="C55" s="1371"/>
      <c r="D55" s="1095"/>
      <c r="F55" s="1068" t="s">
        <v>502</v>
      </c>
      <c r="G55" s="1381" t="s">
        <v>540</v>
      </c>
      <c r="H55" s="1381"/>
      <c r="I55" s="1381"/>
      <c r="L55" s="1"/>
      <c r="M55" s="12" t="str">
        <f t="shared" si="7"/>
        <v>1220 -Investments (Mutual Funds and such)</v>
      </c>
      <c r="N55" s="12" t="str">
        <f t="shared" si="4"/>
        <v>1220 -Investments (Mutual Funds and such)</v>
      </c>
      <c r="AG55" s="1018" t="str">
        <f t="shared" si="6"/>
        <v>2230</v>
      </c>
      <c r="AL55" s="1"/>
    </row>
    <row r="56" spans="1:38" ht="30" customHeight="1" x14ac:dyDescent="0.2">
      <c r="C56" s="1371"/>
      <c r="D56" s="1095"/>
      <c r="F56" s="1068" t="s">
        <v>503</v>
      </c>
      <c r="G56" s="1381" t="s">
        <v>540</v>
      </c>
      <c r="H56" s="1381"/>
      <c r="I56" s="1381"/>
      <c r="M56" s="12" t="str">
        <f t="shared" si="7"/>
        <v>1230 -Disponible ~ Available</v>
      </c>
      <c r="N56" s="12" t="str">
        <f t="shared" si="4"/>
        <v>1230 -Disponible ~ Available</v>
      </c>
      <c r="AG56" s="1018" t="str">
        <f t="shared" si="6"/>
        <v>2240</v>
      </c>
    </row>
    <row r="57" spans="1:38" ht="30" customHeight="1" x14ac:dyDescent="0.2">
      <c r="C57" s="1371"/>
      <c r="D57" s="1095"/>
      <c r="F57" s="1068" t="s">
        <v>504</v>
      </c>
      <c r="G57" s="1381" t="s">
        <v>540</v>
      </c>
      <c r="H57" s="1381"/>
      <c r="I57" s="1381"/>
      <c r="M57" s="12" t="str">
        <f t="shared" si="7"/>
        <v>1240 -Disponible ~ Available</v>
      </c>
      <c r="N57" s="12" t="str">
        <f t="shared" si="4"/>
        <v>1240 -Disponible ~ Available</v>
      </c>
      <c r="T57" s="12"/>
      <c r="AG57" s="1018" t="str">
        <f t="shared" si="6"/>
        <v>2250</v>
      </c>
    </row>
    <row r="58" spans="1:38" ht="30" customHeight="1" x14ac:dyDescent="0.2">
      <c r="C58" s="1371"/>
      <c r="D58" s="1095"/>
      <c r="F58" s="1068" t="s">
        <v>505</v>
      </c>
      <c r="G58" s="1381" t="s">
        <v>540</v>
      </c>
      <c r="H58" s="1381"/>
      <c r="I58" s="1381"/>
      <c r="K58" s="1" t="str">
        <f>LEFT(J109,4)</f>
        <v/>
      </c>
      <c r="M58" s="12" t="str">
        <f t="shared" si="7"/>
        <v>1250 -Disponible ~ Available</v>
      </c>
      <c r="N58" s="12" t="str">
        <f t="shared" si="4"/>
        <v>1250 -Disponible ~ Available</v>
      </c>
      <c r="T58" s="12"/>
      <c r="AG58" s="1018" t="str">
        <f t="shared" si="6"/>
        <v>2260</v>
      </c>
    </row>
    <row r="59" spans="1:38" ht="30" customHeight="1" x14ac:dyDescent="0.2">
      <c r="C59" s="1371"/>
      <c r="D59" s="1095"/>
      <c r="F59" s="1068" t="s">
        <v>419</v>
      </c>
      <c r="G59" s="1381" t="s">
        <v>540</v>
      </c>
      <c r="H59" s="1381"/>
      <c r="I59" s="1381"/>
      <c r="K59" s="1" t="str">
        <f>LEFT(J110,4)</f>
        <v/>
      </c>
      <c r="M59" s="12" t="str">
        <f t="shared" si="7"/>
        <v>1260 -Disponible ~ Available</v>
      </c>
      <c r="N59" s="12" t="str">
        <f t="shared" si="4"/>
        <v>1260 -Disponible ~ Available</v>
      </c>
      <c r="AG59" s="1018" t="str">
        <f t="shared" si="6"/>
        <v>2270</v>
      </c>
    </row>
    <row r="60" spans="1:38" ht="30" customHeight="1" x14ac:dyDescent="0.2">
      <c r="C60" s="1371"/>
      <c r="D60" s="1095"/>
      <c r="F60" s="1068" t="s">
        <v>506</v>
      </c>
      <c r="G60" s="1381" t="s">
        <v>540</v>
      </c>
      <c r="H60" s="1381"/>
      <c r="I60" s="1381"/>
      <c r="K60" s="1" t="str">
        <f>LEFT(J118,4)</f>
        <v/>
      </c>
      <c r="M60" s="12" t="str">
        <f t="shared" si="7"/>
        <v>1270 -Disponible ~ Available</v>
      </c>
      <c r="N60" s="12" t="str">
        <f t="shared" si="4"/>
        <v>1270 -Disponible ~ Available</v>
      </c>
      <c r="AG60" s="1018" t="str">
        <f t="shared" si="6"/>
        <v>2280</v>
      </c>
    </row>
    <row r="61" spans="1:38" ht="30" customHeight="1" x14ac:dyDescent="0.2">
      <c r="C61" s="1371"/>
      <c r="D61" s="1095"/>
      <c r="F61" s="1068" t="s">
        <v>420</v>
      </c>
      <c r="G61" s="1381" t="s">
        <v>540</v>
      </c>
      <c r="H61" s="1381"/>
      <c r="I61" s="1381"/>
      <c r="M61" s="12" t="str">
        <f t="shared" si="7"/>
        <v>1280 -Disponible ~ Available</v>
      </c>
      <c r="N61" s="12" t="str">
        <f t="shared" si="4"/>
        <v>1280 -Disponible ~ Available</v>
      </c>
      <c r="AG61" s="1030" t="str">
        <f t="shared" si="6"/>
        <v>2290</v>
      </c>
    </row>
    <row r="62" spans="1:38" ht="30" customHeight="1" x14ac:dyDescent="0.2">
      <c r="A62" s="2"/>
      <c r="C62" s="1371"/>
      <c r="D62" s="1095"/>
      <c r="F62" s="1068" t="s">
        <v>507</v>
      </c>
      <c r="G62" s="1381" t="s">
        <v>540</v>
      </c>
      <c r="H62" s="1381"/>
      <c r="I62" s="1381"/>
      <c r="M62" s="12" t="str">
        <f t="shared" si="7"/>
        <v>1290 -Disponible ~ Available</v>
      </c>
      <c r="N62" s="12" t="str">
        <f t="shared" si="4"/>
        <v>1290 -Disponible ~ Available</v>
      </c>
      <c r="AG62" s="775"/>
    </row>
    <row r="63" spans="1:38" ht="27" customHeight="1" x14ac:dyDescent="0.2">
      <c r="A63" s="2"/>
      <c r="C63" s="1104"/>
      <c r="D63" s="1101" t="str">
        <f>IF($L$10=2,"Soldes à l'ouverture","Opening Balances")</f>
        <v>Opening Balances</v>
      </c>
      <c r="E63" s="1031"/>
      <c r="F63" s="1375"/>
      <c r="G63" s="1375"/>
      <c r="H63" s="1375"/>
      <c r="I63" s="1376"/>
      <c r="M63" s="12" t="str">
        <f t="shared" ref="M63:M71" si="8">CONCATENATE($F76,$G76)</f>
        <v>2010 -Credit Card</v>
      </c>
      <c r="N63" s="12" t="str">
        <f t="shared" si="4"/>
        <v>2010 -Credit Card</v>
      </c>
      <c r="AG63" s="775"/>
    </row>
    <row r="64" spans="1:38" ht="30" customHeight="1" x14ac:dyDescent="0.2">
      <c r="A64" s="2"/>
      <c r="C64" s="1372" t="str">
        <f>IF(L10=2,"Actif à long terme","Long-Term Assets")</f>
        <v>Long-Term Assets</v>
      </c>
      <c r="D64" s="1097"/>
      <c r="E64" s="9"/>
      <c r="F64" s="1068" t="s">
        <v>529</v>
      </c>
      <c r="G64" s="1377" t="str">
        <f>IF(L10=2,"Investissements CPG","Investments GICs")</f>
        <v>Investments GICs</v>
      </c>
      <c r="H64" s="1377"/>
      <c r="I64" s="1377"/>
      <c r="M64" s="12" t="str">
        <f t="shared" si="8"/>
        <v>2020 -Payables - Short Terms</v>
      </c>
      <c r="N64" s="12" t="str">
        <f t="shared" si="4"/>
        <v>2020 -Payables - Short Terms</v>
      </c>
      <c r="AG64" s="775"/>
    </row>
    <row r="65" spans="3:38" ht="30" customHeight="1" x14ac:dyDescent="0.2">
      <c r="C65" s="1372"/>
      <c r="D65" s="1095"/>
      <c r="E65" s="9"/>
      <c r="F65" s="1068" t="s">
        <v>530</v>
      </c>
      <c r="G65" s="1377" t="str">
        <f>IF(L10=2,"Investissements (Fonds mutuels et autres)","Investments (Mutual Funds and such)")</f>
        <v>Investments (Mutual Funds and such)</v>
      </c>
      <c r="H65" s="1377"/>
      <c r="I65" s="1377"/>
      <c r="M65" s="12" t="str">
        <f t="shared" si="8"/>
        <v>2030 -Disponible ~ Available</v>
      </c>
      <c r="N65" s="12" t="str">
        <f t="shared" si="4"/>
        <v>2030 -Disponible ~ Available</v>
      </c>
    </row>
    <row r="66" spans="3:38" ht="30" customHeight="1" x14ac:dyDescent="0.2">
      <c r="C66" s="1372"/>
      <c r="D66" s="1095"/>
      <c r="E66" s="9"/>
      <c r="F66" s="1068" t="s">
        <v>531</v>
      </c>
      <c r="G66" s="1381" t="s">
        <v>540</v>
      </c>
      <c r="H66" s="1381"/>
      <c r="I66" s="1381"/>
      <c r="M66" s="12" t="str">
        <f t="shared" si="8"/>
        <v>2040 -Disponible ~ Available</v>
      </c>
      <c r="N66" s="12" t="str">
        <f t="shared" si="4"/>
        <v>2040 -Disponible ~ Available</v>
      </c>
      <c r="S66" s="502"/>
      <c r="T66" s="603"/>
    </row>
    <row r="67" spans="3:38" ht="30" customHeight="1" x14ac:dyDescent="0.2">
      <c r="C67" s="1372"/>
      <c r="D67" s="1098"/>
      <c r="E67" s="9"/>
      <c r="F67" s="1068" t="s">
        <v>532</v>
      </c>
      <c r="G67" s="1381" t="s">
        <v>540</v>
      </c>
      <c r="H67" s="1381"/>
      <c r="I67" s="1381"/>
      <c r="M67" s="12" t="str">
        <f t="shared" si="8"/>
        <v>2050 -Disponible ~ Available</v>
      </c>
      <c r="N67" s="12" t="str">
        <f t="shared" si="4"/>
        <v>2050 -Disponible ~ Available</v>
      </c>
      <c r="S67" s="502"/>
      <c r="T67" s="603"/>
      <c r="U67" s="603"/>
      <c r="V67" s="603"/>
    </row>
    <row r="68" spans="3:38" ht="30" customHeight="1" x14ac:dyDescent="0.2">
      <c r="C68" s="1372"/>
      <c r="D68" s="1098"/>
      <c r="E68" s="9"/>
      <c r="F68" s="1068" t="s">
        <v>421</v>
      </c>
      <c r="G68" s="1381" t="s">
        <v>540</v>
      </c>
      <c r="H68" s="1381"/>
      <c r="I68" s="1381"/>
      <c r="M68" s="12" t="str">
        <f t="shared" si="8"/>
        <v>2060 -Disponible ~ Available</v>
      </c>
      <c r="N68" s="12" t="str">
        <f t="shared" si="4"/>
        <v>2060 -Disponible ~ Available</v>
      </c>
      <c r="S68" s="502"/>
      <c r="T68" s="603"/>
      <c r="U68" s="603"/>
      <c r="V68" s="603"/>
    </row>
    <row r="69" spans="3:38" ht="30" customHeight="1" x14ac:dyDescent="0.2">
      <c r="C69" s="1372"/>
      <c r="D69" s="1098"/>
      <c r="E69" s="9"/>
      <c r="F69" s="1068" t="s">
        <v>422</v>
      </c>
      <c r="G69" s="1381" t="s">
        <v>540</v>
      </c>
      <c r="H69" s="1381"/>
      <c r="I69" s="1381"/>
      <c r="M69" s="12" t="str">
        <f t="shared" si="8"/>
        <v>2070 -Disponible ~ Available</v>
      </c>
      <c r="N69" s="12" t="str">
        <f t="shared" si="4"/>
        <v>2070 -Disponible ~ Available</v>
      </c>
      <c r="S69" s="502"/>
      <c r="T69" s="603"/>
      <c r="U69" s="603"/>
      <c r="V69" s="603"/>
    </row>
    <row r="70" spans="3:38" ht="30" customHeight="1" x14ac:dyDescent="0.2">
      <c r="C70" s="1372"/>
      <c r="D70" s="1098"/>
      <c r="E70" s="9"/>
      <c r="F70" s="1068" t="s">
        <v>423</v>
      </c>
      <c r="G70" s="1381" t="s">
        <v>540</v>
      </c>
      <c r="H70" s="1381"/>
      <c r="I70" s="1381"/>
      <c r="M70" s="12" t="str">
        <f t="shared" si="8"/>
        <v>2080 -Disponible ~ Available</v>
      </c>
      <c r="N70" s="12" t="str">
        <f t="shared" si="4"/>
        <v>2080 -Disponible ~ Available</v>
      </c>
      <c r="S70" s="502"/>
      <c r="T70" s="603"/>
      <c r="U70" s="603"/>
      <c r="V70" s="603"/>
    </row>
    <row r="71" spans="3:38" ht="30" customHeight="1" x14ac:dyDescent="0.2">
      <c r="C71" s="1372"/>
      <c r="D71" s="1098"/>
      <c r="E71" s="9"/>
      <c r="F71" s="1068" t="s">
        <v>424</v>
      </c>
      <c r="G71" s="1381" t="s">
        <v>540</v>
      </c>
      <c r="H71" s="1381"/>
      <c r="I71" s="1381"/>
      <c r="M71" s="12" t="str">
        <f t="shared" si="8"/>
        <v>2090 -Disponible ~ Available</v>
      </c>
      <c r="N71" s="12" t="str">
        <f t="shared" si="4"/>
        <v>2090 -Disponible ~ Available</v>
      </c>
      <c r="S71" s="502"/>
      <c r="T71" s="603"/>
      <c r="U71" s="603"/>
      <c r="V71" s="603"/>
    </row>
    <row r="72" spans="3:38" ht="30" customHeight="1" x14ac:dyDescent="0.2">
      <c r="C72" s="1372"/>
      <c r="D72" s="1098"/>
      <c r="E72" s="9"/>
      <c r="F72" s="1068" t="s">
        <v>425</v>
      </c>
      <c r="G72" s="1381" t="s">
        <v>540</v>
      </c>
      <c r="H72" s="1381"/>
      <c r="I72" s="1381"/>
      <c r="M72" s="12" t="str">
        <f t="shared" ref="M72:M80" si="9">CONCATENATE($F86,$G86)</f>
        <v>2210 -Mortgage</v>
      </c>
      <c r="N72" s="12" t="str">
        <f t="shared" si="4"/>
        <v>2210 -Mortgage</v>
      </c>
      <c r="S72" s="502"/>
      <c r="T72" s="603"/>
      <c r="U72" s="603"/>
      <c r="V72" s="603"/>
    </row>
    <row r="73" spans="3:38" ht="15.75" x14ac:dyDescent="0.2">
      <c r="C73" s="1448"/>
      <c r="D73" s="1449"/>
      <c r="E73" s="1449"/>
      <c r="F73" s="1449"/>
      <c r="G73" s="1449"/>
      <c r="H73" s="1449"/>
      <c r="I73" s="1450"/>
      <c r="M73" s="12" t="str">
        <f t="shared" si="9"/>
        <v>2220 -Bank Loan</v>
      </c>
      <c r="N73" s="12" t="str">
        <f t="shared" si="4"/>
        <v>2220 -Bank Loan</v>
      </c>
      <c r="S73" s="502"/>
      <c r="T73" s="603"/>
      <c r="U73" s="603"/>
      <c r="V73" s="603"/>
    </row>
    <row r="74" spans="3:38" ht="27" customHeight="1" x14ac:dyDescent="0.2">
      <c r="C74" s="1446"/>
      <c r="D74" s="1447"/>
      <c r="E74" s="1447"/>
      <c r="F74" s="1032"/>
      <c r="G74" s="1382" t="str">
        <f>IF(L10=2,"Comptes de passif","Liability Accounts")</f>
        <v>Liability Accounts</v>
      </c>
      <c r="H74" s="1382"/>
      <c r="I74" s="1383"/>
      <c r="M74" s="12" t="str">
        <f t="shared" si="9"/>
        <v>2230 -Disponible ~ Available</v>
      </c>
      <c r="N74" s="12" t="str">
        <f t="shared" si="4"/>
        <v>2230 -Disponible ~ Available</v>
      </c>
      <c r="S74" s="502"/>
      <c r="T74" s="603"/>
      <c r="U74" s="603"/>
      <c r="V74" s="603"/>
      <c r="AL74" s="1"/>
    </row>
    <row r="75" spans="3:38" ht="27" customHeight="1" thickBot="1" x14ac:dyDescent="0.25">
      <c r="C75" s="1100"/>
      <c r="D75" s="1101" t="str">
        <f>IF($L$10=2,"Soldes à l'ouverture","Opening Balances")</f>
        <v>Opening Balances</v>
      </c>
      <c r="E75" s="1102"/>
      <c r="F75" s="1384"/>
      <c r="G75" s="1384"/>
      <c r="H75" s="1384"/>
      <c r="I75" s="1385"/>
      <c r="M75" s="12" t="str">
        <f t="shared" si="9"/>
        <v>2240 -Disponible ~ Available</v>
      </c>
      <c r="N75" s="12" t="str">
        <f t="shared" si="4"/>
        <v>2240 -Disponible ~ Available</v>
      </c>
      <c r="S75" s="502"/>
      <c r="T75" s="603"/>
      <c r="U75" s="603"/>
      <c r="V75" s="603"/>
      <c r="AL75" s="1"/>
    </row>
    <row r="76" spans="3:38" ht="30" customHeight="1" thickTop="1" x14ac:dyDescent="0.2">
      <c r="C76" s="1373" t="str">
        <f>IF(L10=2,"Passif à court terme","Current Liabilities")</f>
        <v>Current Liabilities</v>
      </c>
      <c r="D76" s="1094"/>
      <c r="E76" s="9"/>
      <c r="F76" s="1069" t="s">
        <v>534</v>
      </c>
      <c r="G76" s="1380" t="str">
        <f>IF(L10=2,"Carte de crédit","Credit Card")</f>
        <v>Credit Card</v>
      </c>
      <c r="H76" s="1380"/>
      <c r="I76" s="1380"/>
      <c r="M76" s="12" t="str">
        <f t="shared" si="9"/>
        <v>2250 -Disponible ~ Available</v>
      </c>
      <c r="N76" s="12" t="str">
        <f t="shared" si="4"/>
        <v>2250 -Disponible ~ Available</v>
      </c>
      <c r="S76" s="502"/>
      <c r="T76" s="603"/>
      <c r="U76" s="603"/>
      <c r="V76" s="603"/>
      <c r="AL76" s="1"/>
    </row>
    <row r="77" spans="3:38" ht="30" customHeight="1" x14ac:dyDescent="0.2">
      <c r="C77" s="1373"/>
      <c r="D77" s="1095"/>
      <c r="E77" s="7"/>
      <c r="F77" s="1069" t="s">
        <v>535</v>
      </c>
      <c r="G77" s="1380" t="str">
        <f>IF(L10=2,"Comptes à payer - Court terme","Payables - Short Terms")</f>
        <v>Payables - Short Terms</v>
      </c>
      <c r="H77" s="1380"/>
      <c r="I77" s="1380"/>
      <c r="M77" s="12" t="str">
        <f t="shared" si="9"/>
        <v>2260 -Disponible ~ Available</v>
      </c>
      <c r="N77" s="12" t="str">
        <f t="shared" si="4"/>
        <v>2260 -Disponible ~ Available</v>
      </c>
      <c r="S77" s="502"/>
      <c r="T77" s="603"/>
      <c r="U77" s="603"/>
      <c r="V77" s="603"/>
      <c r="AL77" s="1"/>
    </row>
    <row r="78" spans="3:38" ht="30" customHeight="1" x14ac:dyDescent="0.2">
      <c r="C78" s="1373"/>
      <c r="D78" s="1095"/>
      <c r="E78" s="7"/>
      <c r="F78" s="1069" t="s">
        <v>536</v>
      </c>
      <c r="G78" s="1357" t="s">
        <v>540</v>
      </c>
      <c r="H78" s="1357"/>
      <c r="I78" s="1357"/>
      <c r="M78" s="12" t="str">
        <f t="shared" si="9"/>
        <v>2270 -Disponible ~ Available</v>
      </c>
      <c r="N78" s="12" t="str">
        <f t="shared" si="4"/>
        <v>2270 -Disponible ~ Available</v>
      </c>
      <c r="S78" s="502"/>
      <c r="T78" s="603"/>
      <c r="U78" s="603"/>
      <c r="V78" s="603"/>
      <c r="AB78" s="21"/>
      <c r="AL78" s="1"/>
    </row>
    <row r="79" spans="3:38" ht="30" customHeight="1" x14ac:dyDescent="0.2">
      <c r="C79" s="1373"/>
      <c r="D79" s="1095"/>
      <c r="E79" s="7"/>
      <c r="F79" s="1069" t="s">
        <v>537</v>
      </c>
      <c r="G79" s="1357" t="s">
        <v>540</v>
      </c>
      <c r="H79" s="1357"/>
      <c r="I79" s="1357"/>
      <c r="M79" s="12" t="str">
        <f t="shared" si="9"/>
        <v>2280 -Disponible ~ Available</v>
      </c>
      <c r="N79" s="12" t="str">
        <f t="shared" si="4"/>
        <v>2280 -Disponible ~ Available</v>
      </c>
      <c r="S79" s="502"/>
      <c r="T79" s="603"/>
      <c r="U79" s="603"/>
      <c r="V79" s="603"/>
    </row>
    <row r="80" spans="3:38" ht="30" customHeight="1" x14ac:dyDescent="0.2">
      <c r="C80" s="1373"/>
      <c r="D80" s="1095"/>
      <c r="E80" s="7"/>
      <c r="F80" s="1069" t="s">
        <v>426</v>
      </c>
      <c r="G80" s="1357" t="s">
        <v>540</v>
      </c>
      <c r="H80" s="1357"/>
      <c r="I80" s="1357"/>
      <c r="M80" s="12" t="str">
        <f t="shared" si="9"/>
        <v>2290 -Disponible ~ Available</v>
      </c>
      <c r="N80" s="12" t="str">
        <f t="shared" si="4"/>
        <v>2290 -Disponible ~ Available</v>
      </c>
      <c r="S80" s="502"/>
      <c r="T80" s="603"/>
      <c r="U80" s="603"/>
      <c r="V80" s="603"/>
    </row>
    <row r="81" spans="2:38" ht="30" customHeight="1" x14ac:dyDescent="0.2">
      <c r="C81" s="1373"/>
      <c r="D81" s="1095"/>
      <c r="E81" s="7"/>
      <c r="F81" s="1069" t="s">
        <v>427</v>
      </c>
      <c r="G81" s="1357" t="s">
        <v>540</v>
      </c>
      <c r="H81" s="1357"/>
      <c r="I81" s="1357"/>
      <c r="M81" s="108"/>
      <c r="S81" s="502"/>
      <c r="T81" s="603"/>
      <c r="U81" s="603"/>
      <c r="V81" s="603"/>
    </row>
    <row r="82" spans="2:38" ht="30" customHeight="1" x14ac:dyDescent="0.2">
      <c r="C82" s="1373"/>
      <c r="D82" s="1095"/>
      <c r="E82" s="7"/>
      <c r="F82" s="1069" t="s">
        <v>428</v>
      </c>
      <c r="G82" s="1357" t="s">
        <v>540</v>
      </c>
      <c r="H82" s="1357"/>
      <c r="I82" s="1357"/>
      <c r="M82" s="108"/>
      <c r="S82" s="502"/>
      <c r="T82" s="603"/>
      <c r="U82" s="603"/>
      <c r="V82" s="603"/>
    </row>
    <row r="83" spans="2:38" ht="30" customHeight="1" x14ac:dyDescent="0.2">
      <c r="C83" s="1373"/>
      <c r="D83" s="1095"/>
      <c r="E83" s="7"/>
      <c r="F83" s="1069" t="s">
        <v>429</v>
      </c>
      <c r="G83" s="1357" t="s">
        <v>540</v>
      </c>
      <c r="H83" s="1357"/>
      <c r="I83" s="1357"/>
      <c r="M83" s="108"/>
      <c r="S83" s="502"/>
      <c r="T83" s="603"/>
      <c r="U83" s="603"/>
      <c r="V83" s="603"/>
    </row>
    <row r="84" spans="2:38" ht="30" customHeight="1" thickBot="1" x14ac:dyDescent="0.25">
      <c r="C84" s="1373"/>
      <c r="D84" s="1099"/>
      <c r="E84" s="7"/>
      <c r="F84" s="1069" t="s">
        <v>430</v>
      </c>
      <c r="G84" s="1357" t="s">
        <v>540</v>
      </c>
      <c r="H84" s="1357"/>
      <c r="I84" s="1357"/>
      <c r="M84" s="108"/>
      <c r="S84" s="502"/>
      <c r="T84" s="603"/>
      <c r="U84" s="603"/>
      <c r="V84" s="603"/>
      <c r="AL84" s="1"/>
    </row>
    <row r="85" spans="2:38" ht="27" customHeight="1" thickTop="1" x14ac:dyDescent="0.2">
      <c r="C85" s="1100"/>
      <c r="D85" s="1101" t="str">
        <f>IF($L$10=2,"Soldes à l'ouverture","Opening Balances")</f>
        <v>Opening Balances</v>
      </c>
      <c r="E85" s="1033"/>
      <c r="F85" s="1378"/>
      <c r="G85" s="1378"/>
      <c r="H85" s="1378"/>
      <c r="I85" s="1379"/>
      <c r="M85" s="12" t="s">
        <v>438</v>
      </c>
      <c r="S85" s="502"/>
      <c r="T85" s="603"/>
      <c r="U85" s="603"/>
      <c r="V85" s="603"/>
      <c r="AL85" s="1"/>
    </row>
    <row r="86" spans="2:38" ht="30" customHeight="1" x14ac:dyDescent="0.2">
      <c r="C86" s="1373" t="str">
        <f>IF(L10=2,"Dettes à long terme","Long-Term Debts")</f>
        <v>Long-Term Debts</v>
      </c>
      <c r="D86" s="1097"/>
      <c r="E86" s="7"/>
      <c r="F86" s="1069" t="s">
        <v>538</v>
      </c>
      <c r="G86" s="1380" t="str">
        <f>IF(L10=2,"Hypothèque","Mortgage")</f>
        <v>Mortgage</v>
      </c>
      <c r="H86" s="1380"/>
      <c r="I86" s="1380"/>
      <c r="M86" s="12" t="s">
        <v>439</v>
      </c>
      <c r="S86" s="502"/>
      <c r="T86" s="603"/>
      <c r="U86" s="603"/>
      <c r="V86" s="603"/>
      <c r="AL86" s="1"/>
    </row>
    <row r="87" spans="2:38" ht="30" customHeight="1" x14ac:dyDescent="0.2">
      <c r="C87" s="1373"/>
      <c r="D87" s="1095"/>
      <c r="E87" s="7"/>
      <c r="F87" s="1069" t="s">
        <v>539</v>
      </c>
      <c r="G87" s="1380" t="str">
        <f>IF(L10=2,"Emprunt bancaire","Bank Loan")</f>
        <v>Bank Loan</v>
      </c>
      <c r="H87" s="1380"/>
      <c r="I87" s="1380"/>
      <c r="M87" s="108"/>
      <c r="S87" s="502"/>
      <c r="T87" s="603"/>
      <c r="U87" s="603"/>
      <c r="V87" s="603"/>
    </row>
    <row r="88" spans="2:38" ht="30" customHeight="1" x14ac:dyDescent="0.2">
      <c r="C88" s="1373"/>
      <c r="D88" s="1098"/>
      <c r="E88" s="7"/>
      <c r="F88" s="1069" t="s">
        <v>431</v>
      </c>
      <c r="G88" s="1357" t="s">
        <v>540</v>
      </c>
      <c r="H88" s="1357"/>
      <c r="I88" s="1357"/>
      <c r="M88" s="37"/>
      <c r="S88" s="502"/>
      <c r="T88" s="603"/>
      <c r="U88" s="603"/>
      <c r="V88" s="603"/>
    </row>
    <row r="89" spans="2:38" ht="30" customHeight="1" x14ac:dyDescent="0.2">
      <c r="C89" s="1373"/>
      <c r="D89" s="1098"/>
      <c r="E89" s="7"/>
      <c r="F89" s="1069" t="s">
        <v>432</v>
      </c>
      <c r="G89" s="1357" t="s">
        <v>540</v>
      </c>
      <c r="H89" s="1357"/>
      <c r="I89" s="1357"/>
      <c r="M89" s="37"/>
      <c r="S89" s="502"/>
      <c r="T89" s="603"/>
      <c r="U89" s="603"/>
      <c r="V89" s="603"/>
    </row>
    <row r="90" spans="2:38" ht="30" customHeight="1" x14ac:dyDescent="0.2">
      <c r="C90" s="1373"/>
      <c r="D90" s="1098"/>
      <c r="E90" s="7"/>
      <c r="F90" s="1069" t="s">
        <v>433</v>
      </c>
      <c r="G90" s="1357" t="s">
        <v>540</v>
      </c>
      <c r="H90" s="1357"/>
      <c r="I90" s="1357"/>
      <c r="M90" s="37"/>
      <c r="S90" s="502"/>
      <c r="T90" s="603"/>
      <c r="U90" s="603"/>
      <c r="V90" s="603"/>
    </row>
    <row r="91" spans="2:38" ht="30" customHeight="1" x14ac:dyDescent="0.2">
      <c r="C91" s="1373"/>
      <c r="D91" s="1098"/>
      <c r="E91" s="7"/>
      <c r="F91" s="1069" t="s">
        <v>434</v>
      </c>
      <c r="G91" s="1357" t="s">
        <v>540</v>
      </c>
      <c r="H91" s="1357"/>
      <c r="I91" s="1357"/>
      <c r="M91" s="37"/>
      <c r="S91" s="502"/>
      <c r="T91" s="603"/>
      <c r="U91" s="603"/>
      <c r="V91" s="603"/>
    </row>
    <row r="92" spans="2:38" ht="30" customHeight="1" x14ac:dyDescent="0.2">
      <c r="C92" s="1373"/>
      <c r="D92" s="1098"/>
      <c r="E92" s="7"/>
      <c r="F92" s="1069" t="s">
        <v>435</v>
      </c>
      <c r="G92" s="1357" t="s">
        <v>540</v>
      </c>
      <c r="H92" s="1357"/>
      <c r="I92" s="1357"/>
      <c r="M92" s="37"/>
      <c r="S92" s="502"/>
      <c r="T92" s="603"/>
      <c r="U92" s="603"/>
      <c r="V92" s="603"/>
    </row>
    <row r="93" spans="2:38" ht="30" customHeight="1" x14ac:dyDescent="0.2">
      <c r="C93" s="1373"/>
      <c r="D93" s="1098"/>
      <c r="E93" s="7"/>
      <c r="F93" s="1069" t="s">
        <v>436</v>
      </c>
      <c r="G93" s="1357" t="s">
        <v>540</v>
      </c>
      <c r="H93" s="1357"/>
      <c r="I93" s="1357"/>
      <c r="M93" s="37"/>
      <c r="S93" s="502"/>
      <c r="T93" s="603"/>
      <c r="U93" s="603"/>
      <c r="V93" s="603"/>
    </row>
    <row r="94" spans="2:38" ht="30" customHeight="1" x14ac:dyDescent="0.2">
      <c r="C94" s="1374"/>
      <c r="D94" s="1095"/>
      <c r="E94" s="1034"/>
      <c r="F94" s="1069" t="s">
        <v>437</v>
      </c>
      <c r="G94" s="1357" t="s">
        <v>540</v>
      </c>
      <c r="H94" s="1357"/>
      <c r="I94" s="1357"/>
      <c r="M94" s="37"/>
      <c r="S94" s="502"/>
      <c r="T94" s="603"/>
      <c r="U94" s="603"/>
      <c r="V94" s="603"/>
    </row>
    <row r="95" spans="2:38" ht="27" customHeight="1" thickBot="1" x14ac:dyDescent="0.25">
      <c r="S95" s="502"/>
      <c r="T95" s="603"/>
      <c r="U95" s="603"/>
      <c r="V95" s="603"/>
    </row>
    <row r="96" spans="2:38" ht="30" customHeight="1" thickTop="1" thickBot="1" x14ac:dyDescent="0.25">
      <c r="B96" s="1334" t="str">
        <f>IF(L10=2,"E-3 - Données de l'ACC9 de l`année précédente","E-3 - Last Year's ACC9 Information")</f>
        <v>E-3 - Last Year's ACC9 Information</v>
      </c>
      <c r="C96" s="1335"/>
      <c r="D96" s="1335"/>
      <c r="E96" s="1335"/>
      <c r="F96" s="1335"/>
      <c r="G96" s="1335"/>
      <c r="H96" s="1335"/>
      <c r="I96" s="1335"/>
      <c r="J96" s="1336"/>
      <c r="S96" s="502"/>
      <c r="T96" s="603"/>
      <c r="U96" s="603"/>
      <c r="V96" s="603"/>
    </row>
    <row r="97" spans="2:22" ht="27" customHeight="1" thickTop="1" x14ac:dyDescent="0.2">
      <c r="S97" s="502"/>
      <c r="T97" s="603"/>
      <c r="U97" s="603"/>
      <c r="V97" s="603"/>
    </row>
    <row r="98" spans="2:22" ht="30" customHeight="1" thickBot="1" x14ac:dyDescent="0.25">
      <c r="C98" s="1352" t="str">
        <f>IF(L10=2,"Actif total (ligne 1900)","Total Assets (line 1900)")</f>
        <v>Total Assets (line 1900)</v>
      </c>
      <c r="D98" s="1352"/>
      <c r="E98" s="1352"/>
      <c r="F98" s="1353"/>
      <c r="G98" s="1089"/>
      <c r="H98" s="7"/>
      <c r="I98" s="7"/>
      <c r="J98" s="7"/>
      <c r="S98" s="502"/>
      <c r="T98" s="603"/>
      <c r="U98" s="603"/>
      <c r="V98" s="603"/>
    </row>
    <row r="99" spans="2:22" ht="30" customHeight="1" thickTop="1" x14ac:dyDescent="0.2">
      <c r="C99" s="1354" t="str">
        <f>IF(L10=2,"Bénéfices non répartis accumulés (ligne 3100)","Retained Earnings (line 3100)")</f>
        <v>Retained Earnings (line 3100)</v>
      </c>
      <c r="D99" s="1354"/>
      <c r="E99" s="1354"/>
      <c r="F99" s="1355"/>
      <c r="G99" s="1089"/>
      <c r="H99" s="776"/>
      <c r="I99" s="776"/>
      <c r="J99" s="1386" t="str">
        <f>M34</f>
        <v>Previous Year's information is correct</v>
      </c>
      <c r="S99" s="502"/>
      <c r="T99" s="603"/>
      <c r="U99" s="603"/>
      <c r="V99" s="603"/>
    </row>
    <row r="100" spans="2:22" ht="30" customHeight="1" x14ac:dyDescent="0.2">
      <c r="B100" s="1354" t="str">
        <f>IF(L10=2,"Surplus/Déficits des recettes sur déboursés (ligne 3110)","Surplus/Deficit Revenue over Expenditures (line 3110)")</f>
        <v>Surplus/Deficit Revenue over Expenditures (line 3110)</v>
      </c>
      <c r="C100" s="1354"/>
      <c r="D100" s="1354"/>
      <c r="E100" s="1354"/>
      <c r="F100" s="1355"/>
      <c r="G100" s="1089"/>
      <c r="H100" s="776"/>
      <c r="I100" s="776"/>
      <c r="J100" s="1387"/>
    </row>
    <row r="101" spans="2:22" ht="30" customHeight="1" x14ac:dyDescent="0.2">
      <c r="C101" s="1354" t="str">
        <f>IF(L10=2,"Passif total (ligne 2400)"," Current Liability (outstanding debt) (line 2400)")</f>
        <v xml:space="preserve"> Current Liability (outstanding debt) (line 2400)</v>
      </c>
      <c r="D101" s="1354"/>
      <c r="E101" s="1354"/>
      <c r="F101" s="1355"/>
      <c r="G101" s="1089"/>
      <c r="H101" s="776"/>
      <c r="I101" s="776"/>
      <c r="J101" s="1387"/>
    </row>
    <row r="102" spans="2:22" ht="30" customHeight="1" thickBot="1" x14ac:dyDescent="0.25">
      <c r="C102" s="1352" t="str">
        <f>IF(L10=2,"Ajustement pour arrondissement (si utilisé l'an passé)","Integer rounding adjustment (if used last year)")</f>
        <v>Integer rounding adjustment (if used last year)</v>
      </c>
      <c r="D102" s="1352"/>
      <c r="E102" s="1352"/>
      <c r="F102" s="1353"/>
      <c r="G102" s="1089"/>
      <c r="H102" s="3"/>
      <c r="J102" s="1388"/>
    </row>
    <row r="103" spans="2:22" ht="13.5" thickTop="1" x14ac:dyDescent="0.2"/>
    <row r="104" spans="2:22" ht="18.75" thickBot="1" x14ac:dyDescent="0.25">
      <c r="B104" s="777"/>
    </row>
    <row r="105" spans="2:22" ht="30" customHeight="1" thickTop="1" thickBot="1" x14ac:dyDescent="0.25">
      <c r="B105" s="1334" t="str">
        <f>IF(L10=2,"E-4 - Chèques non-traités de l'année précédente","E-4 - Cheques processed in previous year")</f>
        <v>E-4 - Cheques processed in previous year</v>
      </c>
      <c r="C105" s="1335"/>
      <c r="D105" s="1335"/>
      <c r="E105" s="1335"/>
      <c r="F105" s="1335"/>
      <c r="G105" s="1335"/>
      <c r="H105" s="1335"/>
      <c r="I105" s="1335"/>
      <c r="J105" s="1336"/>
    </row>
    <row r="106" spans="2:22" ht="14.25" thickTop="1" thickBot="1" x14ac:dyDescent="0.25"/>
    <row r="107" spans="2:22" ht="36.75" thickBot="1" x14ac:dyDescent="0.25">
      <c r="C107" s="1063" t="str">
        <f>IF(L10=2,"# de réf","Ref #")</f>
        <v>Ref #</v>
      </c>
      <c r="D107" s="1363" t="str">
        <f>IF(L10=2,"A l'ordre de","Paid to")</f>
        <v>Paid to</v>
      </c>
      <c r="E107" s="1363"/>
      <c r="F107" s="1363"/>
      <c r="G107" s="1064" t="str">
        <f>IF(L10=2,"Montant","Amount")</f>
        <v>Amount</v>
      </c>
      <c r="H107" s="1065" t="str">
        <f>IF(L10=2,"Date
(aaaa-mm-jj)","Date
(yyyy-mm-dd)")</f>
        <v>Date
(yyyy-mm-dd)</v>
      </c>
      <c r="I107" s="1066"/>
      <c r="J107" s="1066" t="str">
        <f>IF(M10=2,"Compte","Account")</f>
        <v>Account</v>
      </c>
    </row>
    <row r="108" spans="2:22" ht="18.75" thickBot="1" x14ac:dyDescent="0.25">
      <c r="C108" s="1035"/>
      <c r="D108" s="1036"/>
      <c r="E108" s="1036"/>
      <c r="F108" s="1036"/>
      <c r="G108" s="1036"/>
      <c r="H108" s="1036"/>
      <c r="I108" s="1036"/>
      <c r="J108" s="1036"/>
    </row>
    <row r="109" spans="2:22" ht="30" customHeight="1" thickTop="1" x14ac:dyDescent="0.2">
      <c r="B109" s="1356" t="str">
        <f>IF($L$10=2,M85,M86)</f>
        <v>If there is not enough space to list all your transactions, group amounts together.</v>
      </c>
      <c r="C109" s="1076"/>
      <c r="D109" s="1364"/>
      <c r="E109" s="1365"/>
      <c r="F109" s="1366"/>
      <c r="G109" s="1090"/>
      <c r="H109" s="1192"/>
      <c r="I109" s="616" t="str">
        <f>LEFT(J109,4)</f>
        <v/>
      </c>
      <c r="J109" s="1078"/>
    </row>
    <row r="110" spans="2:22" ht="30" customHeight="1" x14ac:dyDescent="0.2">
      <c r="B110" s="1356"/>
      <c r="C110" s="1077"/>
      <c r="D110" s="1360"/>
      <c r="E110" s="1361"/>
      <c r="F110" s="1362"/>
      <c r="G110" s="1091"/>
      <c r="H110" s="1192"/>
      <c r="I110" s="616" t="str">
        <f>LEFT(J110,4)</f>
        <v/>
      </c>
      <c r="J110" s="1079"/>
    </row>
    <row r="111" spans="2:22" ht="30" customHeight="1" x14ac:dyDescent="0.2">
      <c r="B111" s="1356"/>
      <c r="C111" s="1077"/>
      <c r="D111" s="1360"/>
      <c r="E111" s="1361"/>
      <c r="F111" s="1362"/>
      <c r="G111" s="1091"/>
      <c r="H111" s="1192"/>
      <c r="I111" s="616"/>
      <c r="J111" s="1079"/>
    </row>
    <row r="112" spans="2:22" ht="30" customHeight="1" x14ac:dyDescent="0.2">
      <c r="B112" s="1356"/>
      <c r="C112" s="1077"/>
      <c r="D112" s="1360"/>
      <c r="E112" s="1361"/>
      <c r="F112" s="1362"/>
      <c r="G112" s="1091"/>
      <c r="H112" s="1192"/>
      <c r="I112" s="616"/>
      <c r="J112" s="1079"/>
    </row>
    <row r="113" spans="2:10" ht="30" customHeight="1" x14ac:dyDescent="0.2">
      <c r="B113" s="1356"/>
      <c r="C113" s="1077"/>
      <c r="D113" s="1360"/>
      <c r="E113" s="1361"/>
      <c r="F113" s="1362"/>
      <c r="G113" s="1091"/>
      <c r="H113" s="1192"/>
      <c r="I113" s="616"/>
      <c r="J113" s="1079"/>
    </row>
    <row r="114" spans="2:10" ht="30" customHeight="1" x14ac:dyDescent="0.2">
      <c r="B114" s="1356"/>
      <c r="C114" s="1077"/>
      <c r="D114" s="1360"/>
      <c r="E114" s="1361"/>
      <c r="F114" s="1362"/>
      <c r="G114" s="1091"/>
      <c r="H114" s="1192"/>
      <c r="I114" s="616"/>
      <c r="J114" s="1079"/>
    </row>
    <row r="115" spans="2:10" ht="30" customHeight="1" x14ac:dyDescent="0.2">
      <c r="B115" s="1356"/>
      <c r="C115" s="1077"/>
      <c r="D115" s="1360"/>
      <c r="E115" s="1361"/>
      <c r="F115" s="1362"/>
      <c r="G115" s="1091"/>
      <c r="H115" s="1192"/>
      <c r="I115" s="616"/>
      <c r="J115" s="1079"/>
    </row>
    <row r="116" spans="2:10" ht="30" customHeight="1" x14ac:dyDescent="0.2">
      <c r="B116" s="1356"/>
      <c r="C116" s="1077"/>
      <c r="D116" s="1360"/>
      <c r="E116" s="1361"/>
      <c r="F116" s="1362"/>
      <c r="G116" s="1091"/>
      <c r="H116" s="1192"/>
      <c r="I116" s="616"/>
      <c r="J116" s="1079"/>
    </row>
    <row r="117" spans="2:10" ht="30" customHeight="1" x14ac:dyDescent="0.2">
      <c r="B117" s="1356"/>
      <c r="C117" s="1077"/>
      <c r="D117" s="1360"/>
      <c r="E117" s="1361"/>
      <c r="F117" s="1362"/>
      <c r="G117" s="1091"/>
      <c r="H117" s="1192"/>
      <c r="I117" s="616"/>
      <c r="J117" s="1079"/>
    </row>
    <row r="118" spans="2:10" ht="30" customHeight="1" thickBot="1" x14ac:dyDescent="0.25">
      <c r="B118" s="1356"/>
      <c r="C118" s="1077"/>
      <c r="D118" s="1360"/>
      <c r="E118" s="1361"/>
      <c r="F118" s="1362"/>
      <c r="G118" s="1091"/>
      <c r="H118" s="1192"/>
      <c r="I118" s="616" t="str">
        <f>LEFT(J118,4)</f>
        <v/>
      </c>
      <c r="J118" s="1080"/>
    </row>
    <row r="119" spans="2:10" ht="30" customHeight="1" thickTop="1" x14ac:dyDescent="0.2">
      <c r="C119" s="1037"/>
      <c r="D119" s="1037"/>
      <c r="E119" s="1038"/>
      <c r="F119" s="1038"/>
      <c r="G119" s="1092">
        <f>SUM(G109:G118)</f>
        <v>0</v>
      </c>
      <c r="H119" s="12"/>
      <c r="I119" s="607"/>
      <c r="J119" s="607"/>
    </row>
    <row r="122" spans="2:10" ht="13.5" thickBot="1" x14ac:dyDescent="0.25"/>
    <row r="123" spans="2:10" ht="30" customHeight="1" thickTop="1" thickBot="1" x14ac:dyDescent="0.25">
      <c r="B123" s="1334" t="str">
        <f>IF(L10=2,"E-5 - Informations sur les taxes","E-5 - Tax Information")</f>
        <v>E-5 - Tax Information</v>
      </c>
      <c r="C123" s="1335"/>
      <c r="D123" s="1335"/>
      <c r="E123" s="1335"/>
      <c r="F123" s="1335"/>
      <c r="G123" s="1335"/>
      <c r="H123" s="1335"/>
      <c r="I123" s="1335"/>
      <c r="J123" s="1336"/>
    </row>
    <row r="124" spans="2:10" ht="14.25" thickTop="1" thickBot="1" x14ac:dyDescent="0.25"/>
    <row r="125" spans="2:10" ht="30" customHeight="1" thickTop="1" thickBot="1" x14ac:dyDescent="0.25">
      <c r="D125" s="1395" t="str">
        <f>IF(L10=2,"Sélectionnez votre province d'appartenance →","Select your province →")</f>
        <v>Select your province →</v>
      </c>
      <c r="E125" s="1395"/>
      <c r="F125" s="1395"/>
      <c r="G125" s="1396"/>
      <c r="H125" s="1086" t="s">
        <v>11</v>
      </c>
    </row>
    <row r="126" spans="2:10" ht="30" customHeight="1" thickTop="1" x14ac:dyDescent="0.2">
      <c r="C126" s="1085"/>
      <c r="D126" s="1407" t="str">
        <f>IF(L10=2,"Taux de la Taxe de vente harmonisée (TVH)","Harmonized Tax Rate (HST)")</f>
        <v>Harmonized Tax Rate (HST)</v>
      </c>
      <c r="E126" s="1407"/>
      <c r="F126" s="1407"/>
      <c r="G126" s="1408"/>
      <c r="H126" s="1087" t="str">
        <f>IF(K47="N","",'Remise~Tax.~Rebate'!F17)</f>
        <v/>
      </c>
      <c r="I126" s="1389" t="str">
        <f>IF($K$47="N",IF($L$10=2,$Q$49,$Q$47),IF($L$10=2,$Q$50,$Q$48))</f>
        <v>This province does not participate in the HST Program.</v>
      </c>
      <c r="J126" s="1390"/>
    </row>
    <row r="127" spans="2:10" ht="30" customHeight="1" x14ac:dyDescent="0.2">
      <c r="C127" s="1085"/>
      <c r="D127" s="1407" t="str">
        <f>IF(L10=2,"Taux fédéral de la taxes de ventes (TPS)","Federal Tax Rate (GST)")</f>
        <v>Federal Tax Rate (GST)</v>
      </c>
      <c r="E127" s="1407"/>
      <c r="F127" s="1407"/>
      <c r="G127" s="1408"/>
      <c r="H127" s="1088">
        <f>IF(K47="Y","",'Remise~Tax.~Rebate'!F19)</f>
        <v>0.05</v>
      </c>
      <c r="I127" s="1391"/>
      <c r="J127" s="1392"/>
    </row>
    <row r="128" spans="2:10" ht="30" customHeight="1" thickBot="1" x14ac:dyDescent="0.25">
      <c r="C128" s="1085"/>
      <c r="D128" s="1407" t="str">
        <f>IF(L10=2,"Taux provincial de la taxes de ventes (TVP)","Provincial Tax Rate (PST)")</f>
        <v>Provincial Tax Rate (PST)</v>
      </c>
      <c r="E128" s="1407"/>
      <c r="F128" s="1407"/>
      <c r="G128" s="1408"/>
      <c r="H128" s="1088">
        <f>IF(K47="Y","",'Remise~Tax.~Rebate'!F21)</f>
        <v>7.0000000000000007E-2</v>
      </c>
      <c r="I128" s="1393"/>
      <c r="J128" s="1394"/>
    </row>
    <row r="131" spans="2:21" ht="13.5" thickBot="1" x14ac:dyDescent="0.25"/>
    <row r="132" spans="2:21" ht="50.25" customHeight="1" thickTop="1" x14ac:dyDescent="0.2">
      <c r="B132" s="1326" t="str">
        <f>IF(L10=2,"Mise à jour le 1 jan 2024          Province","Updated on 1 Jan 2024          Province")</f>
        <v>Updated on 1 Jan 2024          Province</v>
      </c>
      <c r="C132" s="1327"/>
      <c r="D132" s="1272" t="s">
        <v>555</v>
      </c>
      <c r="E132" s="1273" t="str">
        <f>IF(L10=2,"TVP/TVQ","PST/QST")</f>
        <v>PST/QST</v>
      </c>
      <c r="F132" s="1273" t="str">
        <f>IF(L10=2,"TPS","GST")</f>
        <v>GST</v>
      </c>
      <c r="G132" s="1273" t="str">
        <f>IF(L10=2,"TVH","HST")</f>
        <v>HST</v>
      </c>
      <c r="H132" s="1306" t="str">
        <f>IF(L10=2,"Rembour-
sement","Rebate")</f>
        <v>Rebate</v>
      </c>
      <c r="I132" s="1320" t="s">
        <v>556</v>
      </c>
      <c r="J132" s="1321"/>
    </row>
    <row r="133" spans="2:21" ht="43.5" customHeight="1" x14ac:dyDescent="0.2">
      <c r="B133" s="1328" t="s">
        <v>8</v>
      </c>
      <c r="C133" s="1329"/>
      <c r="D133" s="1275" t="str">
        <f>IF(L10=2,"TPS","GST")</f>
        <v>GST</v>
      </c>
      <c r="E133" s="1276"/>
      <c r="F133" s="1276">
        <f>F173</f>
        <v>0.05</v>
      </c>
      <c r="G133" s="1276"/>
      <c r="H133" s="1277"/>
      <c r="I133" s="1312"/>
      <c r="J133" s="1313"/>
    </row>
    <row r="134" spans="2:21" ht="43.5" customHeight="1" x14ac:dyDescent="0.2">
      <c r="B134" s="1330" t="str">
        <f>IF(L10=2,"Colombie-Britannique","Briish Columbia")</f>
        <v>Briish Columbia</v>
      </c>
      <c r="C134" s="1331"/>
      <c r="D134" s="1270" t="str">
        <f>IF(L10=2,"TVP + TPS","PST + GST")</f>
        <v>PST + GST</v>
      </c>
      <c r="E134" s="1271">
        <v>7.0000000000000007E-2</v>
      </c>
      <c r="F134" s="1271">
        <v>0.05</v>
      </c>
      <c r="G134" s="1271"/>
      <c r="H134" s="1274"/>
      <c r="I134" s="1314"/>
      <c r="J134" s="1315"/>
    </row>
    <row r="135" spans="2:21" ht="43.5" customHeight="1" x14ac:dyDescent="0.2">
      <c r="B135" s="1328" t="s">
        <v>12</v>
      </c>
      <c r="C135" s="1329"/>
      <c r="D135" s="1275" t="str">
        <f>IF(L11=2,"TVP + TPS","PST + GST")</f>
        <v>PST + GST</v>
      </c>
      <c r="E135" s="1276">
        <v>7.0000000000000007E-2</v>
      </c>
      <c r="F135" s="1276">
        <v>0.05</v>
      </c>
      <c r="G135" s="1276"/>
      <c r="H135" s="1277"/>
      <c r="I135" s="1322" t="str">
        <f>IF(L10=2,"Le 1er juillet 2019, la TPS est passée de 8 % à 7 %.","As of July 1, 2019 the PST rate was reduced from 8% to 7%.")</f>
        <v>As of July 1, 2019 the PST rate was reduced from 8% to 7%.</v>
      </c>
      <c r="J135" s="1323"/>
      <c r="L135"/>
      <c r="M135"/>
      <c r="N135"/>
      <c r="O135" s="19" t="s">
        <v>366</v>
      </c>
      <c r="P135" s="473">
        <f>H127</f>
        <v>0.05</v>
      </c>
      <c r="Q135" s="473"/>
      <c r="R135"/>
      <c r="S135"/>
      <c r="T135"/>
      <c r="U135"/>
    </row>
    <row r="136" spans="2:21" ht="43.5" customHeight="1" x14ac:dyDescent="0.2">
      <c r="B136" s="1330" t="str">
        <f>IF(L10=2,"Nouveau-Brunswick","New Brunswick")</f>
        <v>New Brunswick</v>
      </c>
      <c r="C136" s="1331"/>
      <c r="D136" s="1270" t="str">
        <f>IF(L10=2,"TVH","HST")</f>
        <v>HST</v>
      </c>
      <c r="E136" s="1297">
        <v>0.1</v>
      </c>
      <c r="F136" s="1271"/>
      <c r="G136" s="1271">
        <v>0.15</v>
      </c>
      <c r="H136" s="1274">
        <v>0.5</v>
      </c>
      <c r="I136" s="1324" t="str">
        <f>IF(L10=2,"Le 1er juillet 2016, la TVH est passée de 13 % à 15 %.","As of July 1, 2016 the HST rate increased from 13% to 15%.")</f>
        <v>As of July 1, 2016 the HST rate increased from 13% to 15%.</v>
      </c>
      <c r="J136" s="1325"/>
      <c r="L136"/>
      <c r="M136"/>
      <c r="N136"/>
      <c r="O136" s="19" t="s">
        <v>367</v>
      </c>
      <c r="P136" s="473">
        <f>H128</f>
        <v>7.0000000000000007E-2</v>
      </c>
      <c r="Q136" s="473"/>
      <c r="R136"/>
      <c r="S136"/>
      <c r="T136"/>
      <c r="U136"/>
    </row>
    <row r="137" spans="2:21" ht="43.5" customHeight="1" x14ac:dyDescent="0.2">
      <c r="B137" s="1328" t="str">
        <f>IF(L11=2,"Terre-Neuve et Labrador","Newfoundland and Labrador")</f>
        <v>Newfoundland and Labrador</v>
      </c>
      <c r="C137" s="1329"/>
      <c r="D137" s="1275" t="str">
        <f>IF(L11=2,"TVH","HST")</f>
        <v>HST</v>
      </c>
      <c r="E137" s="1298">
        <v>0.1</v>
      </c>
      <c r="F137" s="1276"/>
      <c r="G137" s="1276">
        <v>0.15</v>
      </c>
      <c r="H137" s="1277">
        <v>0.5</v>
      </c>
      <c r="I137" s="1322" t="str">
        <f>IF(L10=2,"Le 1er juillet 2016, la TVH est passée de 13 % à 15 %.","As of July 1, 2016 the HST rate increased from 13% to 15%.")</f>
        <v>As of July 1, 2016 the HST rate increased from 13% to 15%.</v>
      </c>
      <c r="J137" s="1323"/>
      <c r="L137"/>
      <c r="M137"/>
      <c r="N137"/>
      <c r="O137" s="19" t="s">
        <v>368</v>
      </c>
      <c r="P137" s="471" t="str">
        <f>H125</f>
        <v>BC</v>
      </c>
      <c r="Q137" s="473"/>
      <c r="R137"/>
      <c r="S137"/>
      <c r="T137"/>
      <c r="U137"/>
    </row>
    <row r="138" spans="2:21" ht="43.5" customHeight="1" x14ac:dyDescent="0.2">
      <c r="B138" s="1330" t="str">
        <f>IF(L12=2,"Territoires-du-Nord-Ouest","Northwest Territories")</f>
        <v>Northwest Territories</v>
      </c>
      <c r="C138" s="1331"/>
      <c r="D138" s="1270" t="str">
        <f>IF(L15=2,"TPS","GST")</f>
        <v>GST</v>
      </c>
      <c r="E138" s="1271"/>
      <c r="F138" s="1271">
        <v>0.05</v>
      </c>
      <c r="G138" s="1271"/>
      <c r="H138" s="1274"/>
      <c r="I138" s="1314"/>
      <c r="J138" s="1315"/>
      <c r="L138"/>
      <c r="M138"/>
      <c r="N138"/>
      <c r="O138"/>
      <c r="P138"/>
      <c r="Q138"/>
      <c r="R138"/>
      <c r="S138"/>
      <c r="T138"/>
      <c r="U138"/>
    </row>
    <row r="139" spans="2:21" ht="43.5" customHeight="1" x14ac:dyDescent="0.2">
      <c r="B139" s="1328" t="str">
        <f>IF(L13=2,"Nouvelle-Écosse","Nova Scotia")</f>
        <v>Nova Scotia</v>
      </c>
      <c r="C139" s="1329"/>
      <c r="D139" s="1275" t="str">
        <f>IF(L13=2,"TVH","HST")</f>
        <v>HST</v>
      </c>
      <c r="E139" s="1298">
        <v>0.1</v>
      </c>
      <c r="F139" s="1276"/>
      <c r="G139" s="1276">
        <v>0.15</v>
      </c>
      <c r="H139" s="1277">
        <v>0.5</v>
      </c>
      <c r="I139" s="1312"/>
      <c r="J139" s="1313"/>
      <c r="L139"/>
      <c r="M139"/>
      <c r="N139"/>
      <c r="O139"/>
      <c r="P139"/>
      <c r="Q139"/>
      <c r="R139"/>
      <c r="S139"/>
      <c r="T139"/>
      <c r="U139"/>
    </row>
    <row r="140" spans="2:21" ht="43.5" customHeight="1" x14ac:dyDescent="0.2">
      <c r="B140" s="1330" t="s">
        <v>557</v>
      </c>
      <c r="C140" s="1331"/>
      <c r="D140" s="1270" t="str">
        <f>IF(L17=2,"TPS","GST")</f>
        <v>GST</v>
      </c>
      <c r="E140" s="1271"/>
      <c r="F140" s="1271">
        <v>0.05</v>
      </c>
      <c r="G140" s="1271"/>
      <c r="H140" s="1274"/>
      <c r="I140" s="1314"/>
      <c r="J140" s="1315"/>
      <c r="L140" s="1332" t="s">
        <v>369</v>
      </c>
      <c r="M140" s="1332"/>
      <c r="N140" s="861" t="s">
        <v>559</v>
      </c>
      <c r="O140" s="1333" t="s">
        <v>370</v>
      </c>
      <c r="P140" s="1333"/>
      <c r="Q140" s="19"/>
      <c r="R140" s="26"/>
      <c r="S140" s="26"/>
      <c r="T140" s="26"/>
      <c r="U140"/>
    </row>
    <row r="141" spans="2:21" ht="43.5" customHeight="1" x14ac:dyDescent="0.2">
      <c r="B141" s="1328" t="s">
        <v>18</v>
      </c>
      <c r="C141" s="1329"/>
      <c r="D141" s="1275" t="str">
        <f>IF(L15=2,"TVH","HST")</f>
        <v>HST</v>
      </c>
      <c r="E141" s="1298">
        <v>0.08</v>
      </c>
      <c r="F141" s="1276"/>
      <c r="G141" s="1276">
        <v>0.13</v>
      </c>
      <c r="H141" s="1277">
        <v>0.82</v>
      </c>
      <c r="I141" s="1312"/>
      <c r="J141" s="1313"/>
      <c r="L141" s="18" t="s">
        <v>9</v>
      </c>
      <c r="M141" s="474">
        <f>F174</f>
        <v>0</v>
      </c>
      <c r="N141" s="1308"/>
      <c r="O141" s="18" t="s">
        <v>9</v>
      </c>
      <c r="P141" s="473">
        <f>F184</f>
        <v>0</v>
      </c>
      <c r="Q141" s="18"/>
      <c r="R141" s="26"/>
      <c r="S141" s="18"/>
      <c r="T141" s="26"/>
      <c r="U141"/>
    </row>
    <row r="142" spans="2:21" ht="43.5" customHeight="1" x14ac:dyDescent="0.2">
      <c r="B142" s="1330" t="str">
        <f>IF(L10=2,"Île-du-Prince-Édouard","Prince Edward Island")</f>
        <v>Prince Edward Island</v>
      </c>
      <c r="C142" s="1331"/>
      <c r="D142" s="1270" t="str">
        <f>IF(L16=2,"TVH","HST")</f>
        <v>HST</v>
      </c>
      <c r="E142" s="1297">
        <v>0.1</v>
      </c>
      <c r="F142" s="1271"/>
      <c r="G142" s="1271">
        <v>0.15</v>
      </c>
      <c r="H142" s="1274">
        <v>0.35</v>
      </c>
      <c r="I142" s="1314"/>
      <c r="J142" s="1315"/>
      <c r="L142" s="18" t="s">
        <v>11</v>
      </c>
      <c r="M142" s="474">
        <f>F175</f>
        <v>7.0000000000000007E-2</v>
      </c>
      <c r="N142" s="1308"/>
      <c r="O142" s="18" t="s">
        <v>11</v>
      </c>
      <c r="P142" s="473">
        <f>F185</f>
        <v>0</v>
      </c>
      <c r="Q142" s="18"/>
      <c r="R142" s="19"/>
      <c r="S142" s="18"/>
      <c r="T142" s="19"/>
      <c r="U142"/>
    </row>
    <row r="143" spans="2:21" ht="43.5" customHeight="1" x14ac:dyDescent="0.2">
      <c r="B143" s="1328" t="str">
        <f>IF(L10=2,"Québec","Quebec")</f>
        <v>Quebec</v>
      </c>
      <c r="C143" s="1329"/>
      <c r="D143" s="1275" t="str">
        <f>IF(L19=2,"*TVQ + TPS","*QST + GST")</f>
        <v>*QST + GST</v>
      </c>
      <c r="E143" s="1276">
        <v>9.9750000000000005E-2</v>
      </c>
      <c r="F143" s="1276">
        <v>0.05</v>
      </c>
      <c r="G143" s="1276"/>
      <c r="H143" s="1277">
        <v>0.5</v>
      </c>
      <c r="I143" s="1312"/>
      <c r="J143" s="1313"/>
      <c r="L143" s="18" t="s">
        <v>13</v>
      </c>
      <c r="M143" s="474">
        <f>F176</f>
        <v>7.0000000000000007E-2</v>
      </c>
      <c r="N143" s="1308"/>
      <c r="O143" s="18" t="s">
        <v>13</v>
      </c>
      <c r="P143" s="473">
        <f>F186</f>
        <v>0</v>
      </c>
      <c r="Q143" s="18"/>
      <c r="R143" s="26"/>
      <c r="S143" s="18"/>
      <c r="T143" s="26"/>
      <c r="U143"/>
    </row>
    <row r="144" spans="2:21" ht="43.5" customHeight="1" x14ac:dyDescent="0.2">
      <c r="B144" s="1330" t="s">
        <v>24</v>
      </c>
      <c r="C144" s="1331"/>
      <c r="D144" s="1270" t="str">
        <f>IF(L20=2,"TVP + TPS","PST + GST")</f>
        <v>PST + GST</v>
      </c>
      <c r="E144" s="1271">
        <v>0.06</v>
      </c>
      <c r="F144" s="1271">
        <v>0.05</v>
      </c>
      <c r="G144" s="1271"/>
      <c r="H144" s="1274"/>
      <c r="I144" s="1314"/>
      <c r="J144" s="1315"/>
      <c r="L144" s="18" t="s">
        <v>14</v>
      </c>
      <c r="M144" s="474">
        <f>F177</f>
        <v>0.1</v>
      </c>
      <c r="N144" s="1308">
        <v>0.15</v>
      </c>
      <c r="O144" s="18" t="s">
        <v>14</v>
      </c>
      <c r="P144" s="473">
        <f>F187</f>
        <v>0.5</v>
      </c>
      <c r="Q144" s="18"/>
      <c r="R144" s="19"/>
      <c r="S144" s="18"/>
      <c r="T144" s="19"/>
      <c r="U144"/>
    </row>
    <row r="145" spans="2:21" ht="43.5" customHeight="1" thickBot="1" x14ac:dyDescent="0.25">
      <c r="B145" s="1316" t="s">
        <v>558</v>
      </c>
      <c r="C145" s="1317"/>
      <c r="D145" s="1278" t="str">
        <f>IF(L21=2,"TPS","GST")</f>
        <v>GST</v>
      </c>
      <c r="E145" s="1279"/>
      <c r="F145" s="1279">
        <v>0.05</v>
      </c>
      <c r="G145" s="1279"/>
      <c r="H145" s="1280"/>
      <c r="I145" s="1318"/>
      <c r="J145" s="1319"/>
      <c r="L145" s="18"/>
      <c r="M145" s="474"/>
      <c r="N145" s="1308"/>
      <c r="O145" s="18"/>
      <c r="P145" s="473"/>
      <c r="Q145" s="18"/>
      <c r="R145" s="19"/>
      <c r="S145" s="18"/>
      <c r="T145" s="19"/>
      <c r="U145"/>
    </row>
    <row r="146" spans="2:21" ht="30" customHeight="1" thickTop="1" x14ac:dyDescent="0.2">
      <c r="L146" s="18" t="s">
        <v>17</v>
      </c>
      <c r="M146" s="474">
        <f t="shared" ref="M146" si="10">F179</f>
        <v>0.1</v>
      </c>
      <c r="N146" s="1308">
        <v>0.15</v>
      </c>
      <c r="O146" s="18" t="s">
        <v>17</v>
      </c>
      <c r="P146" s="473">
        <f>F189</f>
        <v>0.5</v>
      </c>
      <c r="Q146" s="18"/>
      <c r="R146" s="19"/>
      <c r="S146" s="18"/>
      <c r="T146" s="19"/>
      <c r="U146"/>
    </row>
    <row r="147" spans="2:21" ht="30" customHeight="1" x14ac:dyDescent="0.2">
      <c r="L147" s="18" t="s">
        <v>19</v>
      </c>
      <c r="M147" s="474">
        <f>H173</f>
        <v>0</v>
      </c>
      <c r="N147" s="1308"/>
      <c r="O147" s="18" t="s">
        <v>19</v>
      </c>
      <c r="P147" s="473">
        <f t="shared" ref="P147:P153" si="11">H183</f>
        <v>0</v>
      </c>
      <c r="Q147" s="18"/>
      <c r="R147" s="26"/>
      <c r="S147" s="18"/>
      <c r="T147" s="26"/>
      <c r="U147"/>
    </row>
    <row r="148" spans="2:21" ht="30" customHeight="1" x14ac:dyDescent="0.2">
      <c r="L148" s="18" t="s">
        <v>20</v>
      </c>
      <c r="M148" s="474">
        <f t="shared" ref="M148:M154" si="12">H174</f>
        <v>0</v>
      </c>
      <c r="N148" s="1308"/>
      <c r="O148" s="18" t="s">
        <v>20</v>
      </c>
      <c r="P148" s="473">
        <f t="shared" si="11"/>
        <v>0</v>
      </c>
      <c r="Q148" s="18"/>
      <c r="R148" s="26"/>
      <c r="S148" s="18"/>
      <c r="T148" s="26"/>
      <c r="U148"/>
    </row>
    <row r="149" spans="2:21" ht="30" customHeight="1" x14ac:dyDescent="0.2">
      <c r="L149" s="18" t="s">
        <v>21</v>
      </c>
      <c r="M149" s="474">
        <f t="shared" si="12"/>
        <v>0.08</v>
      </c>
      <c r="N149" s="1308">
        <v>0.13</v>
      </c>
      <c r="O149" s="18" t="s">
        <v>21</v>
      </c>
      <c r="P149" s="473">
        <f t="shared" si="11"/>
        <v>0.82</v>
      </c>
      <c r="Q149" s="18"/>
      <c r="R149" s="19"/>
      <c r="S149" s="18"/>
      <c r="T149" s="19"/>
      <c r="U149"/>
    </row>
    <row r="150" spans="2:21" ht="30" customHeight="1" x14ac:dyDescent="0.2">
      <c r="L150" s="18" t="s">
        <v>22</v>
      </c>
      <c r="M150" s="474">
        <f t="shared" si="12"/>
        <v>0.1</v>
      </c>
      <c r="N150" s="1308">
        <v>0.15</v>
      </c>
      <c r="O150" s="18" t="s">
        <v>22</v>
      </c>
      <c r="P150" s="473">
        <f t="shared" si="11"/>
        <v>0.35</v>
      </c>
      <c r="Q150" s="18"/>
      <c r="R150" s="19"/>
      <c r="S150" s="18"/>
      <c r="T150" s="19"/>
      <c r="U150"/>
    </row>
    <row r="151" spans="2:21" ht="30" customHeight="1" x14ac:dyDescent="0.2">
      <c r="L151" s="18" t="s">
        <v>25</v>
      </c>
      <c r="M151" s="474">
        <f t="shared" si="12"/>
        <v>9.9750000000000005E-2</v>
      </c>
      <c r="N151" s="1308"/>
      <c r="O151" s="18" t="s">
        <v>25</v>
      </c>
      <c r="P151" s="473">
        <f t="shared" si="11"/>
        <v>0.5</v>
      </c>
      <c r="Q151" s="18"/>
      <c r="R151" s="26"/>
      <c r="S151" s="18"/>
      <c r="T151" s="19"/>
      <c r="U151"/>
    </row>
    <row r="152" spans="2:21" x14ac:dyDescent="0.2">
      <c r="L152" s="18" t="s">
        <v>27</v>
      </c>
      <c r="M152" s="474">
        <f t="shared" si="12"/>
        <v>0.06</v>
      </c>
      <c r="N152" s="1308"/>
      <c r="O152" s="18" t="s">
        <v>27</v>
      </c>
      <c r="P152" s="473">
        <f t="shared" si="11"/>
        <v>0</v>
      </c>
      <c r="Q152" s="18"/>
      <c r="R152" s="26"/>
      <c r="S152" s="18"/>
      <c r="T152" s="26"/>
      <c r="U152"/>
    </row>
    <row r="153" spans="2:21" x14ac:dyDescent="0.2">
      <c r="L153" s="18" t="s">
        <v>28</v>
      </c>
      <c r="M153" s="474">
        <f t="shared" si="12"/>
        <v>0</v>
      </c>
      <c r="N153" s="1307"/>
      <c r="O153" s="18" t="s">
        <v>28</v>
      </c>
      <c r="P153" s="473">
        <f t="shared" si="11"/>
        <v>0</v>
      </c>
      <c r="Q153" s="18"/>
      <c r="R153" s="26"/>
      <c r="S153" s="18"/>
      <c r="T153" s="26"/>
      <c r="U153"/>
    </row>
    <row r="154" spans="2:21" x14ac:dyDescent="0.2">
      <c r="L154" s="18"/>
      <c r="M154" s="474">
        <f t="shared" si="12"/>
        <v>0</v>
      </c>
      <c r="N154"/>
      <c r="O154" s="18"/>
      <c r="P154" s="473"/>
      <c r="Q154" s="18"/>
      <c r="R154" s="26"/>
      <c r="S154" s="18"/>
      <c r="T154" s="26"/>
      <c r="U154"/>
    </row>
    <row r="155" spans="2:21" x14ac:dyDescent="0.2">
      <c r="L155" s="18" t="s">
        <v>377</v>
      </c>
      <c r="M155" s="474">
        <f t="shared" ref="M155" si="13">E147</f>
        <v>0</v>
      </c>
      <c r="N155"/>
      <c r="O155" s="18" t="s">
        <v>377</v>
      </c>
      <c r="P155" s="473">
        <f>F183</f>
        <v>0.5</v>
      </c>
      <c r="Q155" s="475"/>
      <c r="R155" s="26"/>
      <c r="S155" s="18"/>
      <c r="T155" s="26"/>
      <c r="U155"/>
    </row>
    <row r="156" spans="2:21" x14ac:dyDescent="0.2">
      <c r="L156"/>
      <c r="M156"/>
      <c r="N156"/>
      <c r="O156"/>
      <c r="P156"/>
      <c r="Q156"/>
      <c r="R156"/>
      <c r="S156"/>
      <c r="T156"/>
      <c r="U156"/>
    </row>
    <row r="157" spans="2:21" x14ac:dyDescent="0.2">
      <c r="L157"/>
      <c r="M157"/>
      <c r="N157"/>
      <c r="O157"/>
      <c r="P157"/>
      <c r="Q157"/>
      <c r="R157"/>
      <c r="S157"/>
      <c r="T157"/>
      <c r="U157"/>
    </row>
    <row r="158" spans="2:21" ht="21" customHeight="1" x14ac:dyDescent="0.2">
      <c r="L158"/>
      <c r="M158"/>
      <c r="N158"/>
      <c r="O158" s="24" t="s">
        <v>378</v>
      </c>
      <c r="P158"/>
      <c r="Q158"/>
      <c r="R158"/>
      <c r="S158"/>
      <c r="T158"/>
      <c r="U158"/>
    </row>
    <row r="159" spans="2:21" x14ac:dyDescent="0.2">
      <c r="L159"/>
      <c r="M159"/>
      <c r="N159"/>
      <c r="O159" s="472"/>
      <c r="P159"/>
      <c r="Q159"/>
      <c r="R159"/>
      <c r="S159"/>
      <c r="T159"/>
      <c r="U159"/>
    </row>
    <row r="160" spans="2:21" ht="10.5" customHeight="1" x14ac:dyDescent="0.2">
      <c r="L160"/>
      <c r="M160"/>
      <c r="N160"/>
      <c r="O160" s="210" t="s">
        <v>379</v>
      </c>
      <c r="P160"/>
      <c r="Q160"/>
      <c r="R160"/>
      <c r="S160"/>
      <c r="T160"/>
      <c r="U160"/>
    </row>
    <row r="171" spans="5:8" ht="13.5" hidden="1" thickBot="1" x14ac:dyDescent="0.25"/>
    <row r="172" spans="5:8" ht="19.5" hidden="1" thickTop="1" thickBot="1" x14ac:dyDescent="0.25">
      <c r="E172" s="1397" t="str">
        <f>IF(L10=2,"Taux de la TPS et taux de la TVP par province","GST rate and PST Rate by Province")</f>
        <v>GST rate and PST Rate by Province</v>
      </c>
      <c r="F172" s="1398"/>
      <c r="G172" s="1398"/>
      <c r="H172" s="1399"/>
    </row>
    <row r="173" spans="5:8" ht="18.75" hidden="1" thickTop="1" x14ac:dyDescent="0.2">
      <c r="E173" s="1281" t="str">
        <f>IF(L10=2,"TPS Fédérale","Federal GST")</f>
        <v>Federal GST</v>
      </c>
      <c r="F173" s="1269">
        <v>0.05</v>
      </c>
      <c r="G173" s="1282" t="s">
        <v>19</v>
      </c>
      <c r="H173" s="1283">
        <f>E138</f>
        <v>0</v>
      </c>
    </row>
    <row r="174" spans="5:8" ht="18" hidden="1" x14ac:dyDescent="0.2">
      <c r="E174" s="1284" t="s">
        <v>9</v>
      </c>
      <c r="F174" s="1285">
        <f>E133</f>
        <v>0</v>
      </c>
      <c r="G174" s="1286" t="s">
        <v>20</v>
      </c>
      <c r="H174" s="1287">
        <f t="shared" ref="H174:H179" si="14">E140</f>
        <v>0</v>
      </c>
    </row>
    <row r="175" spans="5:8" ht="18" hidden="1" x14ac:dyDescent="0.2">
      <c r="E175" s="1284" t="s">
        <v>11</v>
      </c>
      <c r="F175" s="1285">
        <f>E134</f>
        <v>7.0000000000000007E-2</v>
      </c>
      <c r="G175" s="1286" t="s">
        <v>21</v>
      </c>
      <c r="H175" s="1287">
        <f t="shared" si="14"/>
        <v>0.08</v>
      </c>
    </row>
    <row r="176" spans="5:8" ht="18" hidden="1" x14ac:dyDescent="0.2">
      <c r="E176" s="1284" t="s">
        <v>13</v>
      </c>
      <c r="F176" s="1285">
        <f>E135</f>
        <v>7.0000000000000007E-2</v>
      </c>
      <c r="G176" s="1286" t="s">
        <v>22</v>
      </c>
      <c r="H176" s="1287">
        <f t="shared" si="14"/>
        <v>0.1</v>
      </c>
    </row>
    <row r="177" spans="5:8" ht="18" hidden="1" x14ac:dyDescent="0.2">
      <c r="E177" s="1284" t="s">
        <v>14</v>
      </c>
      <c r="F177" s="1285">
        <f>E136</f>
        <v>0.1</v>
      </c>
      <c r="G177" s="1286" t="s">
        <v>25</v>
      </c>
      <c r="H177" s="1287">
        <f t="shared" si="14"/>
        <v>9.9750000000000005E-2</v>
      </c>
    </row>
    <row r="178" spans="5:8" ht="18" hidden="1" x14ac:dyDescent="0.2">
      <c r="E178" s="1284" t="s">
        <v>16</v>
      </c>
      <c r="F178" s="1285">
        <f>E137</f>
        <v>0.1</v>
      </c>
      <c r="G178" s="1286" t="s">
        <v>27</v>
      </c>
      <c r="H178" s="1287">
        <f t="shared" si="14"/>
        <v>0.06</v>
      </c>
    </row>
    <row r="179" spans="5:8" ht="18.75" hidden="1" thickBot="1" x14ac:dyDescent="0.3">
      <c r="E179" s="1288" t="s">
        <v>17</v>
      </c>
      <c r="F179" s="1289">
        <f>E139</f>
        <v>0.1</v>
      </c>
      <c r="G179" s="1290" t="s">
        <v>28</v>
      </c>
      <c r="H179" s="1287">
        <f t="shared" si="14"/>
        <v>0</v>
      </c>
    </row>
    <row r="180" spans="5:8" ht="13.5" hidden="1" thickTop="1" x14ac:dyDescent="0.2">
      <c r="E180" s="1400"/>
      <c r="F180" s="1400"/>
      <c r="G180" s="1400"/>
      <c r="H180" s="1400"/>
    </row>
    <row r="181" spans="5:8" ht="13.5" hidden="1" thickBot="1" x14ac:dyDescent="0.25">
      <c r="E181" s="1401"/>
      <c r="F181" s="1401"/>
      <c r="G181" s="1401"/>
      <c r="H181" s="1401"/>
    </row>
    <row r="182" spans="5:8" ht="19.5" hidden="1" thickTop="1" thickBot="1" x14ac:dyDescent="0.25">
      <c r="E182" s="1397" t="str">
        <f>IF(L10=2,"% de remise de taxe fédérale et provinciale","% of Provincial and Federal Tax Rebate")</f>
        <v>% of Provincial and Federal Tax Rebate</v>
      </c>
      <c r="F182" s="1398"/>
      <c r="G182" s="1398"/>
      <c r="H182" s="1399"/>
    </row>
    <row r="183" spans="5:8" ht="18.75" hidden="1" thickTop="1" x14ac:dyDescent="0.2">
      <c r="E183" s="1291" t="str">
        <f>IF(L10=2,"Remise fédérale","Federal rebate")</f>
        <v>Federal rebate</v>
      </c>
      <c r="F183" s="1292">
        <v>0.5</v>
      </c>
      <c r="G183" s="1282" t="s">
        <v>19</v>
      </c>
      <c r="H183" s="1293">
        <f>H138</f>
        <v>0</v>
      </c>
    </row>
    <row r="184" spans="5:8" ht="18" hidden="1" x14ac:dyDescent="0.2">
      <c r="E184" s="1284" t="s">
        <v>9</v>
      </c>
      <c r="F184" s="1294">
        <f>H133</f>
        <v>0</v>
      </c>
      <c r="G184" s="1286" t="s">
        <v>20</v>
      </c>
      <c r="H184" s="1295">
        <f t="shared" ref="H184:H189" si="15">H140</f>
        <v>0</v>
      </c>
    </row>
    <row r="185" spans="5:8" ht="18" hidden="1" x14ac:dyDescent="0.2">
      <c r="E185" s="1284" t="s">
        <v>11</v>
      </c>
      <c r="F185" s="1294">
        <f>H134</f>
        <v>0</v>
      </c>
      <c r="G185" s="1286" t="s">
        <v>21</v>
      </c>
      <c r="H185" s="1295">
        <f t="shared" si="15"/>
        <v>0.82</v>
      </c>
    </row>
    <row r="186" spans="5:8" ht="18" hidden="1" x14ac:dyDescent="0.2">
      <c r="E186" s="1284" t="s">
        <v>13</v>
      </c>
      <c r="F186" s="1294">
        <f>H135</f>
        <v>0</v>
      </c>
      <c r="G186" s="1286" t="s">
        <v>22</v>
      </c>
      <c r="H186" s="1295">
        <f t="shared" si="15"/>
        <v>0.35</v>
      </c>
    </row>
    <row r="187" spans="5:8" ht="18" hidden="1" x14ac:dyDescent="0.2">
      <c r="E187" s="1284" t="s">
        <v>14</v>
      </c>
      <c r="F187" s="1294">
        <f>H136</f>
        <v>0.5</v>
      </c>
      <c r="G187" s="1286" t="s">
        <v>25</v>
      </c>
      <c r="H187" s="1295">
        <f t="shared" si="15"/>
        <v>0.5</v>
      </c>
    </row>
    <row r="188" spans="5:8" ht="18" hidden="1" x14ac:dyDescent="0.2">
      <c r="E188" s="1284" t="s">
        <v>16</v>
      </c>
      <c r="F188" s="1294">
        <f>H137</f>
        <v>0.5</v>
      </c>
      <c r="G188" s="1286" t="s">
        <v>27</v>
      </c>
      <c r="H188" s="1295">
        <f t="shared" si="15"/>
        <v>0</v>
      </c>
    </row>
    <row r="189" spans="5:8" ht="18.75" hidden="1" thickBot="1" x14ac:dyDescent="0.3">
      <c r="E189" s="1288" t="s">
        <v>17</v>
      </c>
      <c r="F189" s="1296">
        <f>H139</f>
        <v>0.5</v>
      </c>
      <c r="G189" s="1290" t="s">
        <v>28</v>
      </c>
      <c r="H189" s="1295">
        <f t="shared" si="15"/>
        <v>0</v>
      </c>
    </row>
  </sheetData>
  <sheetProtection algorithmName="SHA-512" hashValue="m370SEhtUfk1bKAj9/g4AfWkE2co1g/QhfNFjleXHht4ZtEY+1ooVmCaA0RzMYAii+612eUO5XgsYsjELk6GzA==" saltValue="yh7f5GTamQVfuYxHwZlwHg==" spinCount="100000" sheet="1" objects="1" scenarios="1" selectLockedCells="1"/>
  <protectedRanges>
    <protectedRange sqref="B8:D8 F20 D33 B15:B16 F18:H18 B18:D18 B32" name="Range7_1"/>
    <protectedRange sqref="I20 C15:D16 G20" name="Range7_1_3"/>
  </protectedRanges>
  <mergeCells count="164">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formula1>0</formula1>
      <formula2>0</formula2>
    </dataValidation>
    <dataValidation allowBlank="1" showErrorMessage="1" promptTitle="3110" prompt="Enter the amount from line 3110 of last year's ACC-9 (page 4)" sqref="G100">
      <formula1>0</formula1>
      <formula2>0</formula2>
    </dataValidation>
    <dataValidation allowBlank="1" showErrorMessage="1" promptTitle="3100" prompt="Enter line 3100 from last year's ACC-9 (from page 4)" sqref="G99">
      <formula1>0</formula1>
      <formula2>0</formula2>
    </dataValidation>
    <dataValidation allowBlank="1" showErrorMessage="1" promptTitle="1700" prompt="Enter the amount from last year's ACC-9 line 1700 (page 4 of the ACC-9)" sqref="G98">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formula1>1</formula1>
    </dataValidation>
    <dataValidation type="list" allowBlank="1" showInputMessage="1" showErrorMessage="1" sqref="G36 H125">
      <formula1>$R$20:$R$32</formula1>
      <formula2>0</formula2>
    </dataValidation>
    <dataValidation type="list" allowBlank="1" showInputMessage="1" showErrorMessage="1" sqref="J109:J118">
      <formula1>$N$37:$N$80</formula1>
    </dataValidation>
    <dataValidation type="list" allowBlank="1" showInputMessage="1" showErrorMessage="1" sqref="G32">
      <formula1>$L$36:$L$37</formula1>
      <formula2>0</formula2>
    </dataValidation>
    <dataValidation type="list" allowBlank="1" showInputMessage="1" showErrorMessage="1" sqref="C11:D11">
      <formula1>$O$20:$O$31</formula1>
    </dataValidation>
    <dataValidation type="list" allowBlank="1" showInputMessage="1" showErrorMessage="1" sqref="C20:D20 C24:D24">
      <formula1>$L$28:$L$29</formula1>
    </dataValidation>
    <dataValidation type="whole" allowBlank="1" showInputMessage="1" showErrorMessage="1" sqref="H10">
      <formula1>1</formula1>
      <formula2>6000</formula2>
    </dataValidation>
    <dataValidation allowBlank="1" showErrorMessage="1" promptTitle="Year" prompt="Select the year for the start of the training year from the drop down list." sqref="F32">
      <formula1>0</formula1>
      <formula2>0</formula2>
    </dataValidation>
    <dataValidation type="list" allowBlank="1" showErrorMessage="1" promptTitle="Year" prompt="Select the year for the start of the training year from the drop down list." sqref="F31">
      <formula1>$K$15:$K$22</formula1>
    </dataValidation>
    <dataValidation type="list" allowBlank="1" showInputMessage="1" showErrorMessage="1" sqref="G5:H6">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MJ79"/>
  <sheetViews>
    <sheetView showGridLines="0" showZeros="0" topLeftCell="A40" zoomScale="85" zoomScaleNormal="85" workbookViewId="0">
      <selection activeCell="J22" sqref="J22"/>
    </sheetView>
  </sheetViews>
  <sheetFormatPr defaultColWidth="11.42578125" defaultRowHeight="12.75" x14ac:dyDescent="0.2"/>
  <cols>
    <col min="1" max="1" width="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0" width="15.7109375" style="1" customWidth="1"/>
    <col min="11" max="11" width="15.85546875" style="1" customWidth="1"/>
    <col min="12" max="12" width="1.42578125" style="1" customWidth="1"/>
    <col min="13" max="13" width="9.140625" style="1" customWidth="1"/>
    <col min="14" max="14" width="22.42578125" style="1" customWidth="1"/>
    <col min="15" max="15" width="12.28515625" style="1" customWidth="1"/>
    <col min="16" max="256" width="9.140625" style="1" customWidth="1"/>
    <col min="257" max="1024" width="11.42578125" style="1"/>
  </cols>
  <sheetData>
    <row r="1" spans="1:20" ht="33.75" customHeight="1" x14ac:dyDescent="0.2">
      <c r="B1" s="1716" t="str">
        <f>IF(N4=2,"État des résultats","Statement of Operations")</f>
        <v>Statement of Operations</v>
      </c>
      <c r="C1" s="1716"/>
      <c r="D1" s="1716"/>
      <c r="E1" s="1716"/>
      <c r="F1" s="1716"/>
      <c r="G1" s="1716"/>
      <c r="H1" s="1716"/>
      <c r="I1" s="1716"/>
      <c r="J1" s="1716"/>
      <c r="K1" s="1716"/>
      <c r="L1" s="232"/>
    </row>
    <row r="2" spans="1:20" ht="33.75" customHeight="1" x14ac:dyDescent="0.2">
      <c r="B2" s="1717" t="str">
        <f>'Set up ~ Config'!B2:J2</f>
        <v xml:space="preserve">SSC </v>
      </c>
      <c r="C2" s="1717"/>
      <c r="D2" s="1717"/>
      <c r="E2" s="1717"/>
      <c r="F2" s="1717"/>
      <c r="G2" s="1717"/>
      <c r="H2" s="1717"/>
      <c r="I2" s="1717"/>
      <c r="J2" s="1717"/>
      <c r="K2" s="1717"/>
      <c r="L2" s="232"/>
    </row>
    <row r="3" spans="1:20" ht="47.25" customHeight="1" x14ac:dyDescent="0.3">
      <c r="B3" s="1619" t="str">
        <f>IF(N4=2,"REVENUS","REVENUES")</f>
        <v>REVENUES</v>
      </c>
      <c r="C3" s="1619"/>
      <c r="D3" s="1619"/>
      <c r="E3" s="1619"/>
      <c r="F3" s="1619"/>
      <c r="G3" s="1619"/>
      <c r="H3" s="1619"/>
      <c r="I3" s="1619"/>
      <c r="J3" s="1619"/>
      <c r="K3" s="1619"/>
      <c r="L3" s="233"/>
      <c r="O3" s="234"/>
    </row>
    <row r="4" spans="1:20" ht="23.25" customHeight="1" x14ac:dyDescent="0.2">
      <c r="A4" s="3"/>
      <c r="B4" s="1718" t="str">
        <f>'Cover~Page~Titre'!B58:Y58</f>
        <v>For  Fiscal Year Ending on 2025-08-31</v>
      </c>
      <c r="C4" s="1718"/>
      <c r="D4" s="1718"/>
      <c r="E4" s="1718"/>
      <c r="F4" s="1718"/>
      <c r="G4" s="1718"/>
      <c r="H4" s="1718"/>
      <c r="I4" s="1718"/>
      <c r="J4" s="1718"/>
      <c r="K4" s="1718"/>
      <c r="L4" s="3"/>
      <c r="N4" s="23">
        <f>'Set up ~ Config'!L10</f>
        <v>1</v>
      </c>
    </row>
    <row r="5" spans="1:20" ht="24" customHeight="1" x14ac:dyDescent="0.2">
      <c r="B5" s="1719"/>
      <c r="C5" s="1719"/>
      <c r="D5" s="1719"/>
      <c r="E5" s="1719"/>
      <c r="F5" s="235"/>
      <c r="G5" s="236"/>
      <c r="H5" s="1720"/>
      <c r="I5" s="1720"/>
      <c r="J5" s="237"/>
    </row>
    <row r="6" spans="1:20" ht="12" hidden="1" customHeight="1" x14ac:dyDescent="0.2">
      <c r="B6" s="238"/>
      <c r="C6" s="238"/>
      <c r="D6" s="238"/>
      <c r="E6" s="238"/>
      <c r="F6" s="238"/>
      <c r="G6" s="238"/>
      <c r="H6" s="238"/>
      <c r="I6" s="238"/>
      <c r="J6" s="239"/>
    </row>
    <row r="7" spans="1:20" ht="18" customHeight="1" x14ac:dyDescent="0.2">
      <c r="B7" s="1721"/>
      <c r="C7" s="1722" t="str">
        <f>CONCATENATE('Jrnl Rev'!Q4," - ",'Jrnl Rev'!Q5)</f>
        <v>4000 - Donations, Grants &amp; Other</v>
      </c>
      <c r="D7" s="1722"/>
      <c r="E7" s="1722"/>
      <c r="F7" s="1722"/>
      <c r="G7" s="1722"/>
      <c r="H7" s="1722"/>
      <c r="I7" s="1722"/>
      <c r="J7" s="1722"/>
      <c r="K7" s="1722"/>
      <c r="L7" s="12"/>
      <c r="N7" s="240"/>
    </row>
    <row r="8" spans="1:20" s="198" customFormat="1" ht="18" customHeight="1" x14ac:dyDescent="0.2">
      <c r="B8" s="1721"/>
      <c r="C8" s="1723" t="str">
        <f>LEFT('Jrnl Rev'!Q7,1)</f>
        <v>1</v>
      </c>
      <c r="D8" s="241" t="str">
        <f>RIGHT('Jrnl Rev'!Q$7,3)</f>
        <v>(a)</v>
      </c>
      <c r="E8" s="242">
        <f>+'Jrnl Rev'!Q6</f>
        <v>4010</v>
      </c>
      <c r="F8" s="1724" t="str">
        <f>+'Jrnl Rev'!Q8</f>
        <v>From Official Sponsor(s)</v>
      </c>
      <c r="G8" s="1724"/>
      <c r="H8" s="1724"/>
      <c r="I8" s="1724"/>
      <c r="J8" s="243">
        <f>+'Jrnl Rev'!Q516</f>
        <v>0</v>
      </c>
      <c r="K8" s="1725"/>
      <c r="M8" s="244"/>
      <c r="N8" s="12"/>
      <c r="O8" s="12"/>
    </row>
    <row r="9" spans="1:20" s="198" customFormat="1" ht="18" customHeight="1" x14ac:dyDescent="0.2">
      <c r="B9" s="1721"/>
      <c r="C9" s="1723"/>
      <c r="D9" s="245" t="str">
        <f>RIGHT('Jrnl Rev'!R$7,3)</f>
        <v>(b)</v>
      </c>
      <c r="E9" s="246">
        <f>+'Jrnl Rev'!R6</f>
        <v>4020</v>
      </c>
      <c r="F9" s="1726" t="str">
        <f>+'Jrnl Rev'!R8</f>
        <v>From Non-Sponsor Veterans Organizations, Auxiliaries</v>
      </c>
      <c r="G9" s="1726"/>
      <c r="H9" s="1726"/>
      <c r="I9" s="1726"/>
      <c r="J9" s="247">
        <f>+'Jrnl Rev'!R516</f>
        <v>0</v>
      </c>
      <c r="K9" s="1725"/>
      <c r="M9" s="244"/>
    </row>
    <row r="10" spans="1:20" s="198" customFormat="1" ht="18" customHeight="1" x14ac:dyDescent="0.2">
      <c r="B10" s="1721"/>
      <c r="C10" s="1723"/>
      <c r="D10" s="245" t="str">
        <f>RIGHT('Jrnl Rev'!S$7,3)</f>
        <v>(c)</v>
      </c>
      <c r="E10" s="246">
        <f>+'Jrnl Rev'!S6</f>
        <v>4030</v>
      </c>
      <c r="F10" s="1726" t="str">
        <f>+'Jrnl Rev'!S8</f>
        <v>From Other Service Clubs (Charities)</v>
      </c>
      <c r="G10" s="1726"/>
      <c r="H10" s="1726"/>
      <c r="I10" s="1726"/>
      <c r="J10" s="247">
        <f>+'Jrnl Rev'!S516</f>
        <v>0</v>
      </c>
      <c r="K10" s="1725"/>
      <c r="M10" s="244"/>
    </row>
    <row r="11" spans="1:20" s="198" customFormat="1" ht="18" customHeight="1" x14ac:dyDescent="0.2">
      <c r="B11" s="1721"/>
      <c r="C11" s="1723"/>
      <c r="D11" s="245" t="str">
        <f>RIGHT('Jrnl Rev'!X$7,3)</f>
        <v>(d)</v>
      </c>
      <c r="E11" s="246">
        <f>+'Jrnl Rev'!X6</f>
        <v>4040</v>
      </c>
      <c r="F11" s="1726" t="str">
        <f>+'Jrnl Rev'!X8</f>
        <v>Specific Purpose Non-DND Grants</v>
      </c>
      <c r="G11" s="1726"/>
      <c r="H11" s="1726"/>
      <c r="I11" s="1726"/>
      <c r="J11" s="247">
        <f>+'Jrnl Rev'!X516</f>
        <v>0</v>
      </c>
      <c r="K11" s="1725"/>
      <c r="M11" s="244"/>
    </row>
    <row r="12" spans="1:20" s="198" customFormat="1" ht="18" customHeight="1" x14ac:dyDescent="0.2">
      <c r="B12" s="1721"/>
      <c r="C12" s="1723"/>
      <c r="D12" s="245" t="str">
        <f>RIGHT('Jrnl Rev'!Y$7,3)</f>
        <v>(e)</v>
      </c>
      <c r="E12" s="246">
        <f>+'Jrnl Rev'!Y6</f>
        <v>4050</v>
      </c>
      <c r="F12" s="1726" t="str">
        <f>+'Jrnl Rev'!Y8</f>
        <v>Bequests and Such</v>
      </c>
      <c r="G12" s="1726"/>
      <c r="H12" s="1726"/>
      <c r="I12" s="1726"/>
      <c r="J12" s="247">
        <f>+'Jrnl Rev'!Y516</f>
        <v>0</v>
      </c>
      <c r="K12" s="1725"/>
      <c r="M12" s="244"/>
    </row>
    <row r="13" spans="1:20" s="198" customFormat="1" ht="18" customHeight="1" x14ac:dyDescent="0.2">
      <c r="B13" s="1721"/>
      <c r="C13" s="1723"/>
      <c r="D13" s="245" t="str">
        <f>RIGHT('Jrnl Rev'!Z$7,3)</f>
        <v>(f)</v>
      </c>
      <c r="E13" s="246">
        <f>+'Jrnl Rev'!Z6</f>
        <v>4060</v>
      </c>
      <c r="F13" s="1726" t="str">
        <f>+'Jrnl Rev'!Z8</f>
        <v>Non-Tax Receipt - Other Donations</v>
      </c>
      <c r="G13" s="1726"/>
      <c r="H13" s="1726"/>
      <c r="I13" s="1726"/>
      <c r="J13" s="247">
        <f>+'Jrnl Rev'!Z516</f>
        <v>0</v>
      </c>
      <c r="K13" s="1725"/>
      <c r="M13" s="244"/>
    </row>
    <row r="14" spans="1:20" s="198" customFormat="1" ht="18" customHeight="1" x14ac:dyDescent="0.2">
      <c r="B14" s="1721"/>
      <c r="C14" s="1723"/>
      <c r="D14" s="245" t="str">
        <f>RIGHT('Jrnl Rev'!AA$7,3)</f>
        <v>(g)</v>
      </c>
      <c r="E14" s="246">
        <f>+'Jrnl Rev'!AA6</f>
        <v>4070</v>
      </c>
      <c r="F14" s="1726" t="str">
        <f>+'Jrnl Rev'!AA8</f>
        <v>Tax Receipt - Other Donations</v>
      </c>
      <c r="G14" s="1726"/>
      <c r="H14" s="1726"/>
      <c r="I14" s="1726"/>
      <c r="J14" s="247">
        <f>+'Jrnl Rev'!AA516</f>
        <v>0</v>
      </c>
      <c r="K14" s="1725"/>
      <c r="M14" s="244"/>
    </row>
    <row r="15" spans="1:20" s="198" customFormat="1" ht="18" customHeight="1" x14ac:dyDescent="0.2">
      <c r="B15" s="1721"/>
      <c r="C15" s="1723"/>
      <c r="D15" s="245" t="str">
        <f>RIGHT('Jrnl Rev'!AB$7,3)</f>
        <v>(h)</v>
      </c>
      <c r="E15" s="246">
        <f>+'Jrnl Rev'!AB6</f>
        <v>4080</v>
      </c>
      <c r="F15" s="1726" t="str">
        <f>IF('Jrnl Rev'!AB$8="Disponible ~ Available",IF($N$4=2,"Disponible","Available"),'Jrnl Rev'!AB$8)</f>
        <v>Available</v>
      </c>
      <c r="G15" s="1726"/>
      <c r="H15" s="1726"/>
      <c r="I15" s="1726"/>
      <c r="J15" s="247">
        <f>+'Jrnl Rev'!AB516</f>
        <v>0</v>
      </c>
      <c r="K15" s="1725"/>
      <c r="M15" s="244"/>
      <c r="P15" s="248"/>
      <c r="Q15" s="12"/>
      <c r="R15" s="12"/>
      <c r="S15" s="12"/>
      <c r="T15" s="12"/>
    </row>
    <row r="16" spans="1:20" s="198" customFormat="1" ht="18" customHeight="1" x14ac:dyDescent="0.2">
      <c r="B16" s="1721"/>
      <c r="C16" s="1723"/>
      <c r="D16" s="249" t="str">
        <f>RIGHT('Jrnl Rev'!AC$7,3)</f>
        <v>(i)</v>
      </c>
      <c r="E16" s="246">
        <f>+'Jrnl Rev'!AC6</f>
        <v>4090</v>
      </c>
      <c r="F16" s="1726" t="str">
        <f>IF('Jrnl Rev'!AC$8="Disponible ~ Available",IF($N$4=2,"Disponible","Available"),'Jrnl Rev'!AC$8)</f>
        <v>Available</v>
      </c>
      <c r="G16" s="1726"/>
      <c r="H16" s="1726"/>
      <c r="I16" s="1726"/>
      <c r="J16" s="247">
        <f>+'Jrnl Rev'!AC516</f>
        <v>0</v>
      </c>
      <c r="K16" s="1725"/>
      <c r="M16" s="244"/>
      <c r="P16" s="248"/>
      <c r="Q16" s="12"/>
      <c r="R16" s="12"/>
      <c r="S16" s="12"/>
      <c r="T16" s="12"/>
    </row>
    <row r="17" spans="2:16" s="198" customFormat="1" ht="18" customHeight="1" x14ac:dyDescent="0.2">
      <c r="B17" s="1721"/>
      <c r="C17" s="250"/>
      <c r="D17" s="251"/>
      <c r="E17" s="252">
        <v>4099</v>
      </c>
      <c r="F17" s="1727" t="str">
        <f>CONCATENATE('Jrnl Rev'!Q5," - ","Total")</f>
        <v>Donations, Grants &amp; Other - Total</v>
      </c>
      <c r="G17" s="1727"/>
      <c r="H17" s="1727"/>
      <c r="I17" s="1727"/>
      <c r="J17" s="1727"/>
      <c r="K17" s="253">
        <f>SUM(J8:J16)</f>
        <v>0</v>
      </c>
    </row>
    <row r="18" spans="2:16" ht="15.75" x14ac:dyDescent="0.2">
      <c r="B18" s="218"/>
      <c r="C18" s="1656"/>
      <c r="D18" s="1656"/>
      <c r="E18" s="1656"/>
      <c r="F18" s="1656"/>
      <c r="G18" s="1656"/>
      <c r="H18" s="1656"/>
      <c r="I18" s="1656"/>
      <c r="J18" s="1656"/>
      <c r="K18" s="1656"/>
    </row>
    <row r="19" spans="2:16" ht="18" customHeight="1" x14ac:dyDescent="0.2">
      <c r="B19" s="1721"/>
      <c r="C19" s="1728" t="str">
        <f>CONCATENATE('Jrnl Rev'!AD4," - ",'Jrnl Rev'!AD5)</f>
        <v>4200 - Gaming &amp; Lotteries Fundraising</v>
      </c>
      <c r="D19" s="1728"/>
      <c r="E19" s="1728"/>
      <c r="F19" s="1728"/>
      <c r="G19" s="1728"/>
      <c r="H19" s="1728"/>
      <c r="I19" s="1728"/>
      <c r="J19" s="1728"/>
      <c r="K19" s="1728"/>
    </row>
    <row r="20" spans="2:16" s="198" customFormat="1" ht="18" customHeight="1" x14ac:dyDescent="0.2">
      <c r="B20" s="1721"/>
      <c r="C20" s="1723" t="str">
        <f>LEFT('Jrnl Rev'!AD7,1)</f>
        <v>2</v>
      </c>
      <c r="D20" s="241" t="str">
        <f>RIGHT('Jrnl Rev'!AD$7,3)</f>
        <v>(a)</v>
      </c>
      <c r="E20" s="246">
        <f>+'Jrnl Rev'!AD6</f>
        <v>4210</v>
      </c>
      <c r="F20" s="1726" t="str">
        <f>IF('Jrnl Rev'!AD$8="Disponible ~ Available",IF($N$4=2,"Disponible","Available"),'Jrnl Rev'!AD$8)</f>
        <v>SQN 
Lottery/Raffle</v>
      </c>
      <c r="G20" s="1726"/>
      <c r="H20" s="1726"/>
      <c r="I20" s="1726"/>
      <c r="J20" s="254">
        <f>+'Jrnl Rev'!AD516</f>
        <v>0</v>
      </c>
      <c r="K20" s="1729"/>
      <c r="M20" s="255"/>
    </row>
    <row r="21" spans="2:16" s="198" customFormat="1" ht="18" customHeight="1" x14ac:dyDescent="0.2">
      <c r="B21" s="1721"/>
      <c r="C21" s="1723"/>
      <c r="D21" s="245" t="str">
        <f>RIGHT('Jrnl Rev'!AE$7,3)</f>
        <v>(b)</v>
      </c>
      <c r="E21" s="246">
        <f>+'Jrnl Rev'!AE6</f>
        <v>4220</v>
      </c>
      <c r="F21" s="1726" t="str">
        <f>IF('Jrnl Rev'!AE$8="Disponible ~ Available",IF($N$4=2,"Disponible","Available"),'Jrnl Rev'!AE$8)</f>
        <v>Bingo Income</v>
      </c>
      <c r="G21" s="1726"/>
      <c r="H21" s="1726"/>
      <c r="I21" s="1726"/>
      <c r="J21" s="256">
        <f>+'Jrnl Rev'!AE516</f>
        <v>0</v>
      </c>
      <c r="K21" s="1729"/>
      <c r="M21" s="255"/>
    </row>
    <row r="22" spans="2:16" s="198" customFormat="1" ht="18" customHeight="1" x14ac:dyDescent="0.2">
      <c r="B22" s="1721"/>
      <c r="C22" s="1723"/>
      <c r="D22" s="245" t="str">
        <f>RIGHT('Jrnl Rev'!AF$7,3)</f>
        <v>(c)</v>
      </c>
      <c r="E22" s="246">
        <f>+'Jrnl Rev'!AF6</f>
        <v>4230</v>
      </c>
      <c r="F22" s="1726" t="str">
        <f>IF('Jrnl Rev'!AF$8="Disponible ~ Available",IF($N$4=2,"Disponible","Available"),'Jrnl Rev'!AF$8)</f>
        <v>Available</v>
      </c>
      <c r="G22" s="1726"/>
      <c r="H22" s="1726"/>
      <c r="I22" s="1726"/>
      <c r="J22" s="256">
        <f>+'Jrnl Rev'!AF516</f>
        <v>0</v>
      </c>
      <c r="K22" s="1729"/>
      <c r="M22" s="255"/>
      <c r="P22" s="219"/>
    </row>
    <row r="23" spans="2:16" s="198" customFormat="1" ht="18" customHeight="1" x14ac:dyDescent="0.2">
      <c r="B23" s="1721"/>
      <c r="C23" s="1723"/>
      <c r="D23" s="245" t="str">
        <f>RIGHT('Jrnl Rev'!AG$7,3)</f>
        <v>(e)</v>
      </c>
      <c r="E23" s="246">
        <f>+'Jrnl Rev'!AG6</f>
        <v>4240</v>
      </c>
      <c r="F23" s="1726" t="str">
        <f>IF('Jrnl Rev'!AG$8="Disponible ~ Available",IF($N$4=2,"Disponible","Available"),'Jrnl Rev'!AG$8)</f>
        <v>Available</v>
      </c>
      <c r="G23" s="1726"/>
      <c r="H23" s="1726"/>
      <c r="I23" s="1726"/>
      <c r="J23" s="256">
        <f>+'Jrnl Rev'!AG516</f>
        <v>0</v>
      </c>
      <c r="K23" s="1729"/>
      <c r="M23" s="199"/>
    </row>
    <row r="24" spans="2:16" s="198" customFormat="1" ht="18" customHeight="1" x14ac:dyDescent="0.2">
      <c r="B24" s="1721"/>
      <c r="C24" s="1723"/>
      <c r="D24" s="245" t="str">
        <f>RIGHT('Jrnl Rev'!AH$7,3)</f>
        <v>(f)</v>
      </c>
      <c r="E24" s="246">
        <f>+'Jrnl Rev'!AH6</f>
        <v>4250</v>
      </c>
      <c r="F24" s="1726" t="str">
        <f>IF('Jrnl Rev'!AH$8="Disponible ~ Available",IF($N$4=2,"Disponible","Available"),'Jrnl Rev'!AH$8)</f>
        <v>Available</v>
      </c>
      <c r="G24" s="1726"/>
      <c r="H24" s="1726"/>
      <c r="I24" s="1726"/>
      <c r="J24" s="256">
        <f>+'Jrnl Rev'!AH516</f>
        <v>0</v>
      </c>
      <c r="K24" s="1729"/>
      <c r="M24" s="199"/>
    </row>
    <row r="25" spans="2:16" s="198" customFormat="1" ht="18" customHeight="1" x14ac:dyDescent="0.2">
      <c r="B25" s="1721"/>
      <c r="C25" s="1723"/>
      <c r="D25" s="245" t="str">
        <f>RIGHT('Jrnl Rev'!AI$7,3)</f>
        <v>(g)</v>
      </c>
      <c r="E25" s="246">
        <f>+'Jrnl Rev'!AI6</f>
        <v>4260</v>
      </c>
      <c r="F25" s="1726" t="str">
        <f>IF('Jrnl Rev'!AI$8="Disponible ~ Available",IF($N$4=2,"Disponible","Available"),'Jrnl Rev'!AI$8)</f>
        <v>Available</v>
      </c>
      <c r="G25" s="1726"/>
      <c r="H25" s="1726"/>
      <c r="I25" s="1726"/>
      <c r="J25" s="256">
        <f>+'Jrnl Rev'!AI516</f>
        <v>0</v>
      </c>
      <c r="K25" s="1729"/>
      <c r="M25" s="199"/>
    </row>
    <row r="26" spans="2:16" s="198" customFormat="1" ht="18" customHeight="1" x14ac:dyDescent="0.2">
      <c r="B26" s="1721"/>
      <c r="C26" s="1723"/>
      <c r="D26" s="245" t="str">
        <f>RIGHT('Jrnl Rev'!AJ$7,3)</f>
        <v>(h)</v>
      </c>
      <c r="E26" s="246">
        <f>+'Jrnl Rev'!AJ$6</f>
        <v>4270</v>
      </c>
      <c r="F26" s="1726" t="str">
        <f>IF('Jrnl Rev'!AJ$8="Disponible ~ Available",IF($N$4=2,"Disponible","Available"),'Jrnl Rev'!AJ$8)</f>
        <v>Available</v>
      </c>
      <c r="G26" s="1726"/>
      <c r="H26" s="1726"/>
      <c r="I26" s="1726"/>
      <c r="J26" s="247">
        <f>+'Jrnl Rev'!AJ516</f>
        <v>0</v>
      </c>
      <c r="K26" s="1729"/>
      <c r="M26" s="199"/>
    </row>
    <row r="27" spans="2:16" s="198" customFormat="1" ht="18" customHeight="1" x14ac:dyDescent="0.2">
      <c r="B27" s="1721"/>
      <c r="C27" s="1723"/>
      <c r="D27" s="245" t="str">
        <f>RIGHT('Jrnl Rev'!AK$7,3)</f>
        <v>(i)</v>
      </c>
      <c r="E27" s="246">
        <f>+'Jrnl Rev'!AK$6</f>
        <v>4280</v>
      </c>
      <c r="F27" s="1726" t="str">
        <f>IF('Jrnl Rev'!AK$8="Disponible ~ Available",IF($N$4=2,"Disponible","Available"),'Jrnl Rev'!AK$8)</f>
        <v>Available</v>
      </c>
      <c r="G27" s="1726"/>
      <c r="H27" s="1726"/>
      <c r="I27" s="1726"/>
      <c r="J27" s="247">
        <f>+'Jrnl Rev'!AK516</f>
        <v>0</v>
      </c>
      <c r="K27" s="1729"/>
      <c r="M27" s="199"/>
    </row>
    <row r="28" spans="2:16" s="198" customFormat="1" ht="18" customHeight="1" x14ac:dyDescent="0.2">
      <c r="B28" s="1721"/>
      <c r="C28" s="1723"/>
      <c r="D28" s="249" t="str">
        <f>RIGHT('Jrnl Rev'!AL$7,3)</f>
        <v>(j)</v>
      </c>
      <c r="E28" s="246">
        <f>+'Jrnl Rev'!AL$6</f>
        <v>4290</v>
      </c>
      <c r="F28" s="1726" t="str">
        <f>IF('Jrnl Rev'!AL$8="Disponible ~ Available",IF($N$4=2,"Disponible","Available"),'Jrnl Rev'!AL$8)</f>
        <v>Available</v>
      </c>
      <c r="G28" s="1726"/>
      <c r="H28" s="1726"/>
      <c r="I28" s="1726"/>
      <c r="J28" s="247">
        <f>+'Jrnl Rev'!AL516</f>
        <v>0</v>
      </c>
      <c r="K28" s="1729"/>
      <c r="M28" s="199"/>
    </row>
    <row r="29" spans="2:16" s="198" customFormat="1" ht="18" customHeight="1" x14ac:dyDescent="0.2">
      <c r="B29" s="1721"/>
      <c r="C29" s="250"/>
      <c r="D29" s="251"/>
      <c r="E29" s="257">
        <v>4299</v>
      </c>
      <c r="F29" s="1730" t="str">
        <f>CONCATENATE('Jrnl Rev'!AD5," -  ","Total")</f>
        <v>Gaming &amp; Lotteries Fundraising -  Total</v>
      </c>
      <c r="G29" s="1730"/>
      <c r="H29" s="1730"/>
      <c r="I29" s="1730"/>
      <c r="J29" s="1730"/>
      <c r="K29" s="258">
        <f>SUM(J20:J28)</f>
        <v>0</v>
      </c>
      <c r="M29" s="199"/>
    </row>
    <row r="30" spans="2:16" s="198" customFormat="1" x14ac:dyDescent="0.2">
      <c r="B30" s="218"/>
      <c r="C30" s="1731"/>
      <c r="D30" s="1731"/>
      <c r="E30" s="1731"/>
      <c r="F30" s="1731"/>
      <c r="G30" s="1731"/>
      <c r="H30" s="1731"/>
      <c r="I30" s="1731"/>
      <c r="J30" s="1731"/>
      <c r="K30" s="1731"/>
    </row>
    <row r="31" spans="2:16" s="198" customFormat="1" ht="18" customHeight="1" x14ac:dyDescent="0.2">
      <c r="B31" s="1721"/>
      <c r="C31" s="1722" t="str">
        <f>CONCATENATE('Jrnl Rev'!AM4," - ",'Jrnl Rev'!AM5)</f>
        <v>4400 - Other Fundraising</v>
      </c>
      <c r="D31" s="1722"/>
      <c r="E31" s="1722"/>
      <c r="F31" s="1722"/>
      <c r="G31" s="1722"/>
      <c r="H31" s="1722"/>
      <c r="I31" s="1722"/>
      <c r="J31" s="1722"/>
      <c r="K31" s="1722"/>
    </row>
    <row r="32" spans="2:16" s="198" customFormat="1" ht="18" customHeight="1" x14ac:dyDescent="0.2">
      <c r="B32" s="1721"/>
      <c r="C32" s="1723" t="str">
        <f>LEFT('Jrnl Rev'!AM7,1)</f>
        <v>4</v>
      </c>
      <c r="D32" s="241" t="str">
        <f>RIGHT('Jrnl Rev'!AM$7,3)</f>
        <v>(a)</v>
      </c>
      <c r="E32" s="246">
        <f>+'Jrnl Rev'!AM6</f>
        <v>4410</v>
      </c>
      <c r="F32" s="1726" t="str">
        <f>IF('Jrnl Rev'!AM$8="Disponible ~ Available",IF($N$4=2,"Disponible","Available"),'Jrnl Rev'!AM$8)</f>
        <v>Tagging
Revenue
Fall</v>
      </c>
      <c r="G32" s="1726"/>
      <c r="H32" s="1726"/>
      <c r="I32" s="1726"/>
      <c r="J32" s="259">
        <f>+'Jrnl Rev'!AM516</f>
        <v>0</v>
      </c>
      <c r="K32" s="1729"/>
      <c r="L32" s="260"/>
      <c r="M32" s="260"/>
      <c r="N32" s="260"/>
    </row>
    <row r="33" spans="2:14" s="198" customFormat="1" ht="18" customHeight="1" x14ac:dyDescent="0.2">
      <c r="B33" s="1721"/>
      <c r="C33" s="1723"/>
      <c r="D33" s="245" t="str">
        <f>RIGHT('Jrnl Rev'!AN$7,3)</f>
        <v>(b)</v>
      </c>
      <c r="E33" s="246">
        <f>+'Jrnl Rev'!AN6</f>
        <v>4420</v>
      </c>
      <c r="F33" s="1726" t="str">
        <f>IF('Jrnl Rev'!AN$8="Disponible ~ Available",IF($N$4=2,"Disponible","Available"),'Jrnl Rev'!AN$8)</f>
        <v>Tagging
Revenue
Spring</v>
      </c>
      <c r="G33" s="1726"/>
      <c r="H33" s="1726"/>
      <c r="I33" s="1726"/>
      <c r="J33" s="256">
        <f>+'Jrnl Rev'!AN516</f>
        <v>0</v>
      </c>
      <c r="K33" s="1729"/>
      <c r="N33" s="199"/>
    </row>
    <row r="34" spans="2:14" s="198" customFormat="1" ht="18" customHeight="1" x14ac:dyDescent="0.2">
      <c r="B34" s="1721"/>
      <c r="C34" s="1723"/>
      <c r="D34" s="245" t="str">
        <f>RIGHT('Jrnl Rev'!AO$7,3)</f>
        <v>(c)</v>
      </c>
      <c r="E34" s="246">
        <f>+'Jrnl Rev'!AO6</f>
        <v>4430</v>
      </c>
      <c r="F34" s="1726" t="str">
        <f>IF('Jrnl Rev'!AO$8="Disponible ~ Available",IF($N$4=2,"Disponible","Available"),'Jrnl Rev'!AO$8)</f>
        <v>Annual
Banquet
Ticket Sales
&amp; Such</v>
      </c>
      <c r="G34" s="1726"/>
      <c r="H34" s="1726"/>
      <c r="I34" s="1726"/>
      <c r="J34" s="256">
        <f>+'Jrnl Rev'!AO516</f>
        <v>0</v>
      </c>
      <c r="K34" s="1729"/>
      <c r="N34" s="199"/>
    </row>
    <row r="35" spans="2:14" s="198" customFormat="1" ht="18" customHeight="1" x14ac:dyDescent="0.2">
      <c r="B35" s="1721"/>
      <c r="C35" s="1723"/>
      <c r="D35" s="245" t="str">
        <f>RIGHT('Jrnl Rev'!AP$7,3)</f>
        <v>(d)</v>
      </c>
      <c r="E35" s="246">
        <f>+'Jrnl Rev'!AP6</f>
        <v>4440</v>
      </c>
      <c r="F35" s="1726" t="str">
        <f>IF('Jrnl Rev'!AP$8="Disponible ~ Available",IF($N$4=2,"Disponible","Available"),'Jrnl Rev'!AP$8)</f>
        <v>Bottle Drive
Revenue</v>
      </c>
      <c r="G35" s="1726"/>
      <c r="H35" s="1726"/>
      <c r="I35" s="1726"/>
      <c r="J35" s="256">
        <f>+'Jrnl Rev'!AP516</f>
        <v>0</v>
      </c>
      <c r="K35" s="1729"/>
      <c r="N35" s="199"/>
    </row>
    <row r="36" spans="2:14" s="198" customFormat="1" ht="18" customHeight="1" x14ac:dyDescent="0.2">
      <c r="B36" s="1721"/>
      <c r="C36" s="1723"/>
      <c r="D36" s="245" t="str">
        <f>RIGHT('Jrnl Rev'!AQ$7,3)</f>
        <v>(e)</v>
      </c>
      <c r="E36" s="246">
        <f>+'Jrnl Rev'!AQ$6</f>
        <v>4450</v>
      </c>
      <c r="F36" s="1726" t="str">
        <f>IF('Jrnl Rev'!AQ$8="Disponible ~ Available",IF($N$4=2,"Disponible","Available"),'Jrnl Rev'!AQ$8)</f>
        <v>Available</v>
      </c>
      <c r="G36" s="1726"/>
      <c r="H36" s="1726"/>
      <c r="I36" s="1726"/>
      <c r="J36" s="256">
        <f>+'Jrnl Rev'!AQ516</f>
        <v>0</v>
      </c>
      <c r="K36" s="1729"/>
      <c r="N36" s="199"/>
    </row>
    <row r="37" spans="2:14" s="198" customFormat="1" ht="18" customHeight="1" x14ac:dyDescent="0.2">
      <c r="B37" s="1721"/>
      <c r="C37" s="1723"/>
      <c r="D37" s="245" t="str">
        <f>RIGHT('Jrnl Rev'!AR$7,3)</f>
        <v>(f)</v>
      </c>
      <c r="E37" s="246">
        <f>+'Jrnl Rev'!AR$6</f>
        <v>4460</v>
      </c>
      <c r="F37" s="1726" t="str">
        <f>IF('Jrnl Rev'!AR$8="Disponible ~ Available",IF($N$4=2,"Disponible","Available"),'Jrnl Rev'!AR$8)</f>
        <v>Available</v>
      </c>
      <c r="G37" s="1726"/>
      <c r="H37" s="1726"/>
      <c r="I37" s="1726"/>
      <c r="J37" s="247">
        <f>+'Jrnl Rev'!AR516</f>
        <v>0</v>
      </c>
      <c r="K37" s="1729"/>
      <c r="N37" s="199"/>
    </row>
    <row r="38" spans="2:14" s="198" customFormat="1" ht="18" customHeight="1" x14ac:dyDescent="0.2">
      <c r="B38" s="1721"/>
      <c r="C38" s="1723"/>
      <c r="D38" s="245" t="str">
        <f>RIGHT('Jrnl Rev'!AS$7,3)</f>
        <v>(g)</v>
      </c>
      <c r="E38" s="246">
        <f>+'Jrnl Rev'!AS$6</f>
        <v>4470</v>
      </c>
      <c r="F38" s="1726" t="str">
        <f>IF('Jrnl Rev'!AS$8="Disponible ~ Available",IF($N$4=2,"Disponible","Available"),'Jrnl Rev'!AS$8)</f>
        <v>Available</v>
      </c>
      <c r="G38" s="1726"/>
      <c r="H38" s="1726"/>
      <c r="I38" s="1726"/>
      <c r="J38" s="247">
        <f>+'Jrnl Rev'!AS$516</f>
        <v>0</v>
      </c>
      <c r="K38" s="1729"/>
      <c r="N38" s="199"/>
    </row>
    <row r="39" spans="2:14" s="198" customFormat="1" ht="18" customHeight="1" x14ac:dyDescent="0.2">
      <c r="B39" s="1721"/>
      <c r="C39" s="1723"/>
      <c r="D39" s="245" t="str">
        <f>RIGHT('Jrnl Rev'!AT$7,3)</f>
        <v>(h)</v>
      </c>
      <c r="E39" s="246">
        <f>+'Jrnl Rev'!AT$6</f>
        <v>4480</v>
      </c>
      <c r="F39" s="1726" t="str">
        <f>IF('Jrnl Rev'!AT$8="Disponible ~ Available",IF($N$4=2,"Disponible","Available"),'Jrnl Rev'!AT$8)</f>
        <v>Available</v>
      </c>
      <c r="G39" s="1726"/>
      <c r="H39" s="1726"/>
      <c r="I39" s="1726"/>
      <c r="J39" s="247">
        <f>+'Jrnl Rev'!AT$516</f>
        <v>0</v>
      </c>
      <c r="K39" s="1729"/>
      <c r="N39" s="199"/>
    </row>
    <row r="40" spans="2:14" s="198" customFormat="1" ht="18" customHeight="1" x14ac:dyDescent="0.2">
      <c r="B40" s="1721"/>
      <c r="C40" s="1723"/>
      <c r="D40" s="249" t="str">
        <f>RIGHT('Jrnl Rev'!AU$7,3)</f>
        <v>(i)</v>
      </c>
      <c r="E40" s="246">
        <f>+'Jrnl Rev'!AU$6</f>
        <v>4490</v>
      </c>
      <c r="F40" s="1726" t="str">
        <f>IF('Jrnl Rev'!AU$8="Disponible ~ Available",IF($N$4=2,"Disponible","Available"),'Jrnl Rev'!AU$8)</f>
        <v>Available</v>
      </c>
      <c r="G40" s="1726"/>
      <c r="H40" s="1726"/>
      <c r="I40" s="1726"/>
      <c r="J40" s="247">
        <f>+'Jrnl Rev'!AU$516</f>
        <v>0</v>
      </c>
      <c r="K40" s="1729"/>
      <c r="N40" s="199"/>
    </row>
    <row r="41" spans="2:14" s="198" customFormat="1" ht="18" customHeight="1" x14ac:dyDescent="0.2">
      <c r="B41" s="1721"/>
      <c r="C41" s="250"/>
      <c r="D41" s="261"/>
      <c r="E41" s="257">
        <v>4499</v>
      </c>
      <c r="F41" s="1730" t="str">
        <f>CONCATENATE('Jrnl Rev'!AM5," - ","Total")</f>
        <v>Other Fundraising - Total</v>
      </c>
      <c r="G41" s="1730"/>
      <c r="H41" s="1730"/>
      <c r="I41" s="1730"/>
      <c r="J41" s="1730"/>
      <c r="K41" s="258">
        <f>SUM(J32:J40)</f>
        <v>0</v>
      </c>
      <c r="N41" s="199"/>
    </row>
    <row r="42" spans="2:14" s="198" customFormat="1" ht="12.75" customHeight="1" x14ac:dyDescent="0.2">
      <c r="B42" s="262"/>
      <c r="C42" s="262"/>
      <c r="D42" s="189"/>
      <c r="E42" s="189"/>
      <c r="F42" s="189"/>
      <c r="G42" s="189"/>
      <c r="H42" s="189"/>
      <c r="I42" s="189"/>
      <c r="J42" s="189"/>
      <c r="K42" s="263" t="s">
        <v>464</v>
      </c>
      <c r="N42" s="199"/>
    </row>
    <row r="43" spans="2:14" s="198" customFormat="1" ht="18" customHeight="1" x14ac:dyDescent="0.2">
      <c r="B43" s="1732"/>
      <c r="C43" s="1722" t="str">
        <f>CONCATENATE('Jrnl Rev'!AV4," - ",'Jrnl Rev'!AV5)</f>
        <v>4600 - Misc Revenues (Other than Gov't)</v>
      </c>
      <c r="D43" s="1722"/>
      <c r="E43" s="1722"/>
      <c r="F43" s="1722"/>
      <c r="G43" s="1722"/>
      <c r="H43" s="1722"/>
      <c r="I43" s="1722"/>
      <c r="J43" s="1722"/>
      <c r="K43" s="1722"/>
    </row>
    <row r="44" spans="2:14" ht="18" customHeight="1" x14ac:dyDescent="0.2">
      <c r="B44" s="1732"/>
      <c r="C44" s="1723" t="str">
        <f>LEFT('Jrnl Rev'!AV7,1)</f>
        <v>6</v>
      </c>
      <c r="D44" s="241" t="str">
        <f>RIGHT('Jrnl Rev'!AV$7,3)</f>
        <v>(a)</v>
      </c>
      <c r="E44" s="246">
        <f>+'Jrnl Rev'!AV6</f>
        <v>4610</v>
      </c>
      <c r="F44" s="1726" t="str">
        <f>IF('Jrnl Rev'!AV$8="Disponible ~ Available",IF($N$4=2,"Disponible","Available"),'Jrnl Rev'!AV$8)</f>
        <v>Money Collected for Activities</v>
      </c>
      <c r="G44" s="1726"/>
      <c r="H44" s="1726"/>
      <c r="I44" s="1726"/>
      <c r="J44" s="254">
        <f>+'Jrnl Rev'!AV516</f>
        <v>0</v>
      </c>
      <c r="K44" s="1729"/>
      <c r="M44" s="18"/>
      <c r="N44" s="199"/>
    </row>
    <row r="45" spans="2:14" ht="18" customHeight="1" x14ac:dyDescent="0.2">
      <c r="B45" s="1732"/>
      <c r="C45" s="1723"/>
      <c r="D45" s="245" t="str">
        <f>RIGHT('Jrnl Rev'!AW$7,3)</f>
        <v>(b)</v>
      </c>
      <c r="E45" s="246">
        <f>+'Jrnl Rev'!AW6</f>
        <v>4620</v>
      </c>
      <c r="F45" s="1726" t="str">
        <f>IF('Jrnl Rev'!AW$8="Disponible ~ Available",IF($N$4=2,"Disponible","Available"),'Jrnl Rev'!AW$8)</f>
        <v>Refunds</v>
      </c>
      <c r="G45" s="1726"/>
      <c r="H45" s="1726"/>
      <c r="I45" s="1726"/>
      <c r="J45" s="256">
        <f>+'Jrnl Rev'!AW516</f>
        <v>0</v>
      </c>
      <c r="K45" s="1729"/>
      <c r="M45" s="82"/>
      <c r="N45" s="199"/>
    </row>
    <row r="46" spans="2:14" ht="18" customHeight="1" x14ac:dyDescent="0.2">
      <c r="B46" s="1732"/>
      <c r="C46" s="1723"/>
      <c r="D46" s="245" t="str">
        <f>RIGHT('Jrnl Rev'!AX$7,3)</f>
        <v>(c)</v>
      </c>
      <c r="E46" s="246">
        <f>+'Jrnl Rev'!AX6</f>
        <v>4630</v>
      </c>
      <c r="F46" s="1726" t="str">
        <f>IF('Jrnl Rev'!AX$8="Disponible ~ Available",IF($N$4=2,"Disponible","Available"),'Jrnl Rev'!AX$8)</f>
        <v>Canteen Proceeds</v>
      </c>
      <c r="G46" s="1726"/>
      <c r="H46" s="1726"/>
      <c r="I46" s="1726"/>
      <c r="J46" s="256">
        <f>+'Jrnl Rev'!AX516</f>
        <v>0</v>
      </c>
      <c r="K46" s="1729"/>
      <c r="M46" s="82"/>
      <c r="N46" s="199"/>
    </row>
    <row r="47" spans="2:14" ht="18" customHeight="1" x14ac:dyDescent="0.2">
      <c r="B47" s="1732"/>
      <c r="C47" s="1723"/>
      <c r="D47" s="245" t="str">
        <f>RIGHT('Jrnl Rev'!AY$7,3)</f>
        <v>(d)</v>
      </c>
      <c r="E47" s="246">
        <f>+'Jrnl Rev'!AY6</f>
        <v>4640</v>
      </c>
      <c r="F47" s="1726" t="str">
        <f>IF('Jrnl Rev'!AY$8="Disponible ~ Available",IF($N$4=2,"Disponible","Available"),'Jrnl Rev'!AY$8)</f>
        <v>Bank &amp; Investments Interest/Income</v>
      </c>
      <c r="G47" s="1726"/>
      <c r="H47" s="1726"/>
      <c r="I47" s="1726"/>
      <c r="J47" s="256">
        <f>+'Jrnl Rev'!AY516</f>
        <v>0</v>
      </c>
      <c r="K47" s="1729"/>
      <c r="M47" s="82"/>
      <c r="N47" s="199"/>
    </row>
    <row r="48" spans="2:14" ht="18" customHeight="1" x14ac:dyDescent="0.2">
      <c r="B48" s="1732"/>
      <c r="C48" s="1723"/>
      <c r="D48" s="245" t="str">
        <f>RIGHT('Jrnl Rev'!AZ$7,3)</f>
        <v>(e)</v>
      </c>
      <c r="E48" s="246">
        <f>+'Jrnl Rev'!AZ6</f>
        <v>4650</v>
      </c>
      <c r="F48" s="1726" t="str">
        <f>IF('Jrnl Rev'!AZ$8="Disponible ~ Available",IF($N$4=2,"Disponible","Available"),'Jrnl Rev'!AZ$8)</f>
        <v>Misc Revenue</v>
      </c>
      <c r="G48" s="1726"/>
      <c r="H48" s="1726"/>
      <c r="I48" s="1726"/>
      <c r="J48" s="256">
        <f>+'Jrnl Rev'!AZ516</f>
        <v>0</v>
      </c>
      <c r="K48" s="1729"/>
      <c r="M48" s="82"/>
      <c r="N48" s="199"/>
    </row>
    <row r="49" spans="2:16" ht="18" customHeight="1" x14ac:dyDescent="0.2">
      <c r="B49" s="1732"/>
      <c r="C49" s="1723"/>
      <c r="D49" s="245" t="str">
        <f>RIGHT('Jrnl Rev'!BA$7,3)</f>
        <v>(f)</v>
      </c>
      <c r="E49" s="246">
        <f>+'Jrnl Rev'!BA6</f>
        <v>4660</v>
      </c>
      <c r="F49" s="1726" t="str">
        <f>IF('Jrnl Rev'!BA$8="Disponible ~ Available",IF($N$4=2,"Disponible","Available"),'Jrnl Rev'!BA$8)</f>
        <v>Sale of 
Sqn
Logo Items</v>
      </c>
      <c r="G49" s="1726"/>
      <c r="H49" s="1726"/>
      <c r="I49" s="1726"/>
      <c r="J49" s="256">
        <f>+'Jrnl Rev'!BA516</f>
        <v>0</v>
      </c>
      <c r="K49" s="1729"/>
      <c r="M49" s="82"/>
      <c r="N49" s="199"/>
    </row>
    <row r="50" spans="2:16" ht="18" customHeight="1" x14ac:dyDescent="0.2">
      <c r="B50" s="1732"/>
      <c r="C50" s="1723"/>
      <c r="D50" s="245" t="str">
        <f>RIGHT('Jrnl Rev'!BB$7,3)</f>
        <v>(g)</v>
      </c>
      <c r="E50" s="246">
        <f>+'Jrnl Rev'!BB6</f>
        <v>4670</v>
      </c>
      <c r="F50" s="1726" t="str">
        <f>IF('Jrnl Rev'!BB$8="Disponible ~ Available",IF($N$4=2,"Disponible","Available"),'Jrnl Rev'!BB$8)</f>
        <v>Assessments</v>
      </c>
      <c r="G50" s="1726"/>
      <c r="H50" s="1726"/>
      <c r="I50" s="1726"/>
      <c r="J50" s="256">
        <f>+'Jrnl Rev'!BB516</f>
        <v>0</v>
      </c>
      <c r="K50" s="1729"/>
      <c r="M50" s="82"/>
      <c r="N50" s="199"/>
    </row>
    <row r="51" spans="2:16" ht="18" customHeight="1" x14ac:dyDescent="0.2">
      <c r="B51" s="1732"/>
      <c r="C51" s="1723"/>
      <c r="D51" s="245" t="str">
        <f>RIGHT('Jrnl Rev'!BC$7,3)</f>
        <v>(h)</v>
      </c>
      <c r="E51" s="246">
        <f>+'Jrnl Rev'!BC6</f>
        <v>4680</v>
      </c>
      <c r="F51" s="1726" t="str">
        <f>IF('Jrnl Rev'!BC$8="Disponible ~ Available",IF($N$4=2,"Disponible","Available"),'Jrnl Rev'!BC$8)</f>
        <v>Rental
Revenue</v>
      </c>
      <c r="G51" s="1726"/>
      <c r="H51" s="1726"/>
      <c r="I51" s="1726"/>
      <c r="J51" s="256">
        <f>+'Jrnl Rev'!BC516</f>
        <v>0</v>
      </c>
      <c r="K51" s="1729"/>
      <c r="M51" s="82"/>
      <c r="N51" s="199"/>
    </row>
    <row r="52" spans="2:16" ht="18" customHeight="1" x14ac:dyDescent="0.2">
      <c r="B52" s="1732"/>
      <c r="C52" s="1723"/>
      <c r="D52" s="249" t="str">
        <f>RIGHT('Jrnl Rev'!BD$7,3)</f>
        <v>(i)</v>
      </c>
      <c r="E52" s="246">
        <f>+'Jrnl Rev'!BD6</f>
        <v>4690</v>
      </c>
      <c r="F52" s="1726" t="str">
        <f>IF('Jrnl Rev'!BD$8="Disponible ~ Available",IF($N$4=2,"Disponible","Available"),'Jrnl Rev'!BD$8)</f>
        <v>Available</v>
      </c>
      <c r="G52" s="1726"/>
      <c r="H52" s="1726"/>
      <c r="I52" s="1726"/>
      <c r="J52" s="256">
        <f>+'Jrnl Rev'!BD516</f>
        <v>0</v>
      </c>
      <c r="K52" s="1729"/>
      <c r="M52" s="82"/>
      <c r="N52" s="199"/>
    </row>
    <row r="53" spans="2:16" ht="18" customHeight="1" x14ac:dyDescent="0.2">
      <c r="B53" s="1732"/>
      <c r="C53" s="196"/>
      <c r="D53" s="261"/>
      <c r="E53" s="257">
        <v>4699</v>
      </c>
      <c r="F53" s="1730" t="str">
        <f>CONCATENATE('Jrnl Rev'!AV5," - ","Total")</f>
        <v>Misc Revenues (Other than Gov't) - Total</v>
      </c>
      <c r="G53" s="1730"/>
      <c r="H53" s="1730"/>
      <c r="I53" s="1730"/>
      <c r="J53" s="1730"/>
      <c r="K53" s="258">
        <f>SUM(J44:J52)</f>
        <v>0</v>
      </c>
      <c r="L53" s="227"/>
      <c r="M53" s="80"/>
      <c r="N53" s="199"/>
    </row>
    <row r="54" spans="2:16" s="1" customFormat="1" x14ac:dyDescent="0.2">
      <c r="C54" s="1735"/>
      <c r="D54" s="1735"/>
      <c r="E54" s="1735"/>
      <c r="F54" s="1735"/>
      <c r="G54" s="1735"/>
      <c r="H54" s="1735"/>
      <c r="I54" s="1735"/>
      <c r="J54" s="1735"/>
      <c r="K54" s="1735"/>
    </row>
    <row r="55" spans="2:16" s="1" customFormat="1" ht="18" customHeight="1" x14ac:dyDescent="0.2">
      <c r="B55" s="1736"/>
      <c r="C55" s="1722" t="str">
        <f>CONCATENATE('Jrnl Rev'!BE4," - ",'Jrnl Rev'!BE5)</f>
        <v>4800 - Funding &amp; Recoveries (Gov't)</v>
      </c>
      <c r="D55" s="1722"/>
      <c r="E55" s="1722"/>
      <c r="F55" s="1722"/>
      <c r="G55" s="1722"/>
      <c r="H55" s="1722"/>
      <c r="I55" s="1722"/>
      <c r="J55" s="1722"/>
      <c r="K55" s="1722"/>
    </row>
    <row r="56" spans="2:16" s="1" customFormat="1" ht="18" customHeight="1" x14ac:dyDescent="0.2">
      <c r="B56" s="1736"/>
      <c r="C56" s="1723" t="str">
        <f>LEFT('Jrnl Rev'!BE7,1)</f>
        <v>8</v>
      </c>
      <c r="D56" s="241" t="str">
        <f>RIGHT('Jrnl Rev'!BE$7,3)</f>
        <v>(a)</v>
      </c>
      <c r="E56" s="246">
        <f>+'Jrnl Rev'!BE6</f>
        <v>4810</v>
      </c>
      <c r="F56" s="1726" t="str">
        <f>IF('Jrnl Rev'!BE$8="Disponible ~ Available",IF($N$4=2,"Disponible","Available"),'Jrnl Rev'!BE$8)</f>
        <v>DND Local Support Allocation (LSA)</v>
      </c>
      <c r="G56" s="1726"/>
      <c r="H56" s="1726"/>
      <c r="I56" s="1726"/>
      <c r="J56" s="264">
        <f>+'Jrnl Rev'!BE516</f>
        <v>0</v>
      </c>
      <c r="K56" s="1699"/>
    </row>
    <row r="57" spans="2:16" s="1" customFormat="1" ht="18" customHeight="1" x14ac:dyDescent="0.2">
      <c r="B57" s="1736"/>
      <c r="C57" s="1723"/>
      <c r="D57" s="245" t="str">
        <f>RIGHT('Jrnl Rev'!BF$7,3)</f>
        <v>(b)</v>
      </c>
      <c r="E57" s="246">
        <f>+'Jrnl Rev'!BF6</f>
        <v>4820</v>
      </c>
      <c r="F57" s="1726" t="str">
        <f>IF('Jrnl Rev'!BF$8="Disponible ~ Available",IF($N$4=2,"Disponible","Available"),'Jrnl Rev'!BF$8)</f>
        <v>DND Allocation - Mandatory and Complementary Pgm (MCP)</v>
      </c>
      <c r="G57" s="1726"/>
      <c r="H57" s="1726"/>
      <c r="I57" s="1726"/>
      <c r="J57" s="247">
        <f>+'Jrnl Rev'!BF516</f>
        <v>0</v>
      </c>
      <c r="K57" s="1699"/>
      <c r="O57" s="199"/>
    </row>
    <row r="58" spans="2:16" s="1" customFormat="1" ht="18" customHeight="1" x14ac:dyDescent="0.2">
      <c r="B58" s="1736"/>
      <c r="C58" s="1723"/>
      <c r="D58" s="245" t="str">
        <f>RIGHT('Jrnl Rev'!BG$7,3)</f>
        <v>(c)</v>
      </c>
      <c r="E58" s="246">
        <f>+'Jrnl Rev'!BG6</f>
        <v>4830</v>
      </c>
      <c r="F58" s="1726" t="str">
        <f>IF('Jrnl Rev'!BG$8="Disponible ~ Available",IF($N$4=2,"Disponible","Available"),'Jrnl Rev'!BG$8)</f>
        <v>Federal Portion - Tax Rebate</v>
      </c>
      <c r="G58" s="1726"/>
      <c r="H58" s="1726"/>
      <c r="I58" s="1726"/>
      <c r="J58" s="247">
        <f>+'Jrnl Rev'!BG516</f>
        <v>0</v>
      </c>
      <c r="K58" s="1699"/>
      <c r="L58" s="209"/>
      <c r="M58" s="92"/>
      <c r="N58" s="92"/>
      <c r="O58" s="199"/>
      <c r="P58" s="92"/>
    </row>
    <row r="59" spans="2:16" s="1" customFormat="1" ht="18" customHeight="1" x14ac:dyDescent="0.2">
      <c r="B59" s="1736"/>
      <c r="C59" s="1723"/>
      <c r="D59" s="245" t="str">
        <f>RIGHT('Jrnl Rev'!BH$7,3)</f>
        <v>(d)</v>
      </c>
      <c r="E59" s="246">
        <f>+'Jrnl Rev'!BH6</f>
        <v>4835</v>
      </c>
      <c r="F59" s="1726" t="str">
        <f>IF('Jrnl Rev'!BH$8="Disponible ~ Available",IF($N$4=2,"Disponible","Available"),'Jrnl Rev'!BH$8)</f>
        <v>Available</v>
      </c>
      <c r="G59" s="1726"/>
      <c r="H59" s="1726"/>
      <c r="I59" s="1726"/>
      <c r="J59" s="247">
        <f>+'Jrnl Rev'!BH516</f>
        <v>0</v>
      </c>
      <c r="K59" s="1699"/>
      <c r="L59" s="209"/>
      <c r="M59" s="92"/>
      <c r="N59" s="92"/>
      <c r="O59" s="199"/>
      <c r="P59" s="92"/>
    </row>
    <row r="60" spans="2:16" s="1" customFormat="1" ht="18" customHeight="1" x14ac:dyDescent="0.2">
      <c r="B60" s="1736"/>
      <c r="C60" s="1723"/>
      <c r="D60" s="245" t="str">
        <f>RIGHT('Jrnl Rev'!BI$7,3)</f>
        <v>(e)</v>
      </c>
      <c r="E60" s="246">
        <f>+'Jrnl Rev'!BI$6</f>
        <v>4840</v>
      </c>
      <c r="F60" s="1726" t="str">
        <f>IF('Jrnl Rev'!BI$8="Disponible ~ Available",IF($N$4=2,"Disponible","Available"),'Jrnl Rev'!BI$8)</f>
        <v>Governmental Grants - Provincial</v>
      </c>
      <c r="G60" s="1726"/>
      <c r="H60" s="1726"/>
      <c r="I60" s="1726"/>
      <c r="J60" s="247">
        <f>+'Jrnl Rev'!BI$516</f>
        <v>0</v>
      </c>
      <c r="K60" s="1699"/>
      <c r="O60" s="199"/>
    </row>
    <row r="61" spans="2:16" s="1" customFormat="1" ht="18" customHeight="1" x14ac:dyDescent="0.2">
      <c r="B61" s="1736"/>
      <c r="C61" s="1723"/>
      <c r="D61" s="245" t="str">
        <f>RIGHT('Jrnl Rev'!BJ$7,3)</f>
        <v>(f)</v>
      </c>
      <c r="E61" s="246">
        <f>+'Jrnl Rev'!BJ$6</f>
        <v>4850</v>
      </c>
      <c r="F61" s="1726" t="str">
        <f>IF('Jrnl Rev'!BJ$8="Disponible ~ Available",IF($N$4=2,"Disponible","Available"),'Jrnl Rev'!BJ$8)</f>
        <v>Provincial Portion - Tax Rebate</v>
      </c>
      <c r="G61" s="1726"/>
      <c r="H61" s="1726"/>
      <c r="I61" s="1726"/>
      <c r="J61" s="247">
        <f>+'Jrnl Rev'!BJ$516</f>
        <v>0</v>
      </c>
      <c r="K61" s="1699"/>
      <c r="O61" s="199"/>
    </row>
    <row r="62" spans="2:16" s="1" customFormat="1" ht="18" customHeight="1" x14ac:dyDescent="0.2">
      <c r="B62" s="1736"/>
      <c r="C62" s="1723"/>
      <c r="D62" s="245" t="str">
        <f>RIGHT('Jrnl Rev'!BK$7,3)</f>
        <v>(g)</v>
      </c>
      <c r="E62" s="246">
        <f>+'Jrnl Rev'!BK$6</f>
        <v>4860</v>
      </c>
      <c r="F62" s="1726" t="str">
        <f>IF('Jrnl Rev'!BK$8="Disponible ~ Available",IF($N$4=2,"Disponible","Available"),'Jrnl Rev'!BK$8)</f>
        <v>Available</v>
      </c>
      <c r="G62" s="1726"/>
      <c r="H62" s="1726"/>
      <c r="I62" s="1726"/>
      <c r="J62" s="247">
        <f>+'Jrnl Rev'!BK$516</f>
        <v>0</v>
      </c>
      <c r="K62" s="1699"/>
      <c r="O62" s="199"/>
    </row>
    <row r="63" spans="2:16" s="1" customFormat="1" ht="18" customHeight="1" x14ac:dyDescent="0.2">
      <c r="B63" s="1736"/>
      <c r="C63" s="1723"/>
      <c r="D63" s="245" t="str">
        <f>RIGHT('Jrnl Rev'!BL$7,3)</f>
        <v>(h)</v>
      </c>
      <c r="E63" s="246">
        <f>+'Jrnl Rev'!BL$6</f>
        <v>4870</v>
      </c>
      <c r="F63" s="1726" t="str">
        <f>IF('Jrnl Rev'!BL$8="Disponible ~ Available",IF($N$4=2,"Disponible","Available"),'Jrnl Rev'!BL$8)</f>
        <v>Governmental Grants - Regional/
Municipal</v>
      </c>
      <c r="G63" s="1726"/>
      <c r="H63" s="1726"/>
      <c r="I63" s="1726"/>
      <c r="J63" s="247">
        <f>+'Jrnl Rev'!BL$516</f>
        <v>0</v>
      </c>
      <c r="K63" s="1699"/>
      <c r="O63" s="199"/>
    </row>
    <row r="64" spans="2:16" s="1" customFormat="1" ht="18" customHeight="1" x14ac:dyDescent="0.2">
      <c r="B64" s="1736"/>
      <c r="C64" s="1723"/>
      <c r="D64" s="245" t="str">
        <f>RIGHT('Jrnl Rev'!BM$7,3)</f>
        <v>(i)</v>
      </c>
      <c r="E64" s="246">
        <f>+'Jrnl Rev'!BM$6</f>
        <v>4880</v>
      </c>
      <c r="F64" s="1726" t="str">
        <f>IF('Jrnl Rev'!BM$8="Disponible ~ Available",IF($N$4=2,"Disponible","Available"),'Jrnl Rev'!BM$8)</f>
        <v>Available</v>
      </c>
      <c r="G64" s="1726"/>
      <c r="H64" s="1726"/>
      <c r="I64" s="1726"/>
      <c r="J64" s="247">
        <f>+'Jrnl Rev'!BM$516</f>
        <v>0</v>
      </c>
      <c r="K64" s="1699"/>
      <c r="O64" s="199"/>
    </row>
    <row r="65" spans="2:15" s="1" customFormat="1" ht="18" customHeight="1" x14ac:dyDescent="0.2">
      <c r="B65" s="1736"/>
      <c r="C65" s="1723"/>
      <c r="D65" s="249" t="str">
        <f>RIGHT('Jrnl Rev'!BN$7,3)</f>
        <v>(j)</v>
      </c>
      <c r="E65" s="246">
        <f>+'Jrnl Rev'!BN$6</f>
        <v>4890</v>
      </c>
      <c r="F65" s="1726" t="str">
        <f>IF('Jrnl Rev'!BN$8="Disponible ~ Available",IF($N$4=2,"Disponible","Available"),'Jrnl Rev'!BN$8)</f>
        <v>Available</v>
      </c>
      <c r="G65" s="1726"/>
      <c r="H65" s="1726"/>
      <c r="I65" s="1726"/>
      <c r="J65" s="247">
        <f>+'Jrnl Rev'!BN$516</f>
        <v>0</v>
      </c>
      <c r="K65" s="1699"/>
      <c r="O65" s="199"/>
    </row>
    <row r="66" spans="2:15" s="1" customFormat="1" ht="18" customHeight="1" x14ac:dyDescent="0.2">
      <c r="B66" s="1736"/>
      <c r="C66" s="196"/>
      <c r="D66" s="261"/>
      <c r="E66" s="257">
        <v>4899</v>
      </c>
      <c r="F66" s="1730" t="str">
        <f>CONCATENATE('Jrnl Rev'!BE5," - ","Total")</f>
        <v>Funding &amp; Recoveries (Gov't) - Total</v>
      </c>
      <c r="G66" s="1730"/>
      <c r="H66" s="1730"/>
      <c r="I66" s="1730"/>
      <c r="J66" s="1730"/>
      <c r="K66" s="258">
        <f>SUM(J56:J65)</f>
        <v>0</v>
      </c>
      <c r="O66" s="199"/>
    </row>
    <row r="67" spans="2:15" s="1" customFormat="1" x14ac:dyDescent="0.2">
      <c r="D67" s="218"/>
      <c r="E67" s="265"/>
      <c r="F67" s="266"/>
      <c r="G67" s="12"/>
      <c r="J67" s="198"/>
      <c r="K67" s="82"/>
      <c r="O67" s="199"/>
    </row>
    <row r="68" spans="2:15" s="1" customFormat="1" ht="18" customHeight="1" x14ac:dyDescent="0.2">
      <c r="C68" s="18"/>
      <c r="D68" s="267"/>
      <c r="E68" s="268">
        <v>5000</v>
      </c>
      <c r="F68" s="1733" t="str">
        <f>IF(N4=2,"TOTAL des revenus (reporté à la ligne 5000 page 6):","TOTAL Income (forwarded to line 5000 page 6):")</f>
        <v>TOTAL Income (forwarded to line 5000 page 6):</v>
      </c>
      <c r="G68" s="1733"/>
      <c r="H68" s="1733"/>
      <c r="I68" s="1733"/>
      <c r="J68" s="1733"/>
      <c r="K68" s="269">
        <f>K66+K53+K41+K29+K17</f>
        <v>0</v>
      </c>
      <c r="M68" s="270"/>
    </row>
    <row r="69" spans="2:15" s="1" customFormat="1" ht="18" customHeight="1" x14ac:dyDescent="0.2">
      <c r="C69" s="1734"/>
      <c r="D69" s="1734"/>
      <c r="E69" s="1734"/>
      <c r="F69" s="1734"/>
      <c r="G69" s="12"/>
      <c r="I69" s="193"/>
      <c r="J69" s="198"/>
      <c r="K69" s="271" t="s">
        <v>463</v>
      </c>
    </row>
    <row r="70" spans="2:15" s="1" customFormat="1" x14ac:dyDescent="0.2">
      <c r="C70" s="1734"/>
      <c r="D70" s="1734"/>
      <c r="E70" s="1734"/>
      <c r="F70" s="1734"/>
      <c r="G70" s="12"/>
      <c r="J70" s="198"/>
      <c r="K70" s="82"/>
    </row>
    <row r="71" spans="2:15" ht="12.75" customHeight="1" x14ac:dyDescent="0.2"/>
    <row r="72" spans="2:15" s="198" customFormat="1" ht="15" customHeight="1" x14ac:dyDescent="0.2">
      <c r="B72" s="1"/>
      <c r="C72" s="1"/>
      <c r="D72" s="1"/>
      <c r="E72" s="1"/>
      <c r="F72" s="1"/>
      <c r="G72" s="1"/>
      <c r="H72" s="1"/>
      <c r="I72" s="1"/>
      <c r="J72" s="1"/>
      <c r="K72" s="1"/>
      <c r="L72" s="1"/>
      <c r="M72" s="1"/>
    </row>
    <row r="73" spans="2:15" s="198" customFormat="1" ht="15" customHeight="1" x14ac:dyDescent="0.2">
      <c r="B73" s="1"/>
      <c r="C73" s="1"/>
      <c r="D73" s="1"/>
      <c r="E73" s="1"/>
      <c r="F73" s="1"/>
      <c r="G73" s="1"/>
      <c r="H73" s="1"/>
      <c r="I73" s="1"/>
      <c r="J73" s="1"/>
      <c r="K73" s="1"/>
      <c r="L73" s="1"/>
      <c r="M73" s="1"/>
    </row>
    <row r="74" spans="2:15" s="198" customFormat="1" ht="15" customHeight="1" x14ac:dyDescent="0.2">
      <c r="B74" s="1"/>
      <c r="C74" s="1"/>
      <c r="D74" s="1"/>
      <c r="E74" s="1"/>
      <c r="F74" s="1"/>
      <c r="G74" s="1"/>
      <c r="H74" s="1"/>
      <c r="I74" s="1"/>
      <c r="J74" s="1"/>
      <c r="K74" s="1"/>
      <c r="L74" s="1"/>
      <c r="M74" s="1"/>
    </row>
    <row r="75" spans="2:15" ht="15" customHeight="1" x14ac:dyDescent="0.2"/>
    <row r="76" spans="2:15" ht="15" customHeight="1" x14ac:dyDescent="0.2"/>
    <row r="77" spans="2:15" s="198" customFormat="1" ht="15" customHeight="1" x14ac:dyDescent="0.2">
      <c r="B77" s="1"/>
      <c r="C77" s="1"/>
      <c r="D77" s="1"/>
      <c r="E77" s="1"/>
      <c r="F77" s="1"/>
      <c r="G77" s="1"/>
      <c r="H77" s="1"/>
      <c r="I77" s="1"/>
      <c r="J77" s="1"/>
      <c r="K77" s="1"/>
      <c r="L77" s="1"/>
      <c r="M77" s="1"/>
    </row>
    <row r="78" spans="2:15" s="198" customFormat="1" ht="15" customHeight="1" x14ac:dyDescent="0.2">
      <c r="B78" s="1"/>
      <c r="C78" s="1"/>
      <c r="D78" s="1"/>
      <c r="E78" s="1"/>
      <c r="F78" s="1"/>
      <c r="G78" s="1"/>
      <c r="H78" s="1"/>
      <c r="I78" s="1"/>
      <c r="J78" s="1"/>
      <c r="K78" s="1"/>
      <c r="L78" s="1"/>
      <c r="M78" s="1"/>
    </row>
    <row r="79" spans="2:15" ht="15" customHeight="1" x14ac:dyDescent="0.2"/>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B1:K1"/>
    <mergeCell ref="B2:K2"/>
    <mergeCell ref="B3:K3"/>
    <mergeCell ref="B4:K4"/>
    <mergeCell ref="B5:E5"/>
    <mergeCell ref="H5:I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AMJ133"/>
  <sheetViews>
    <sheetView showGridLines="0" showZeros="0" topLeftCell="A92" zoomScale="85" zoomScaleNormal="85" workbookViewId="0">
      <selection activeCell="J17" sqref="J17"/>
    </sheetView>
  </sheetViews>
  <sheetFormatPr defaultColWidth="11.42578125" defaultRowHeight="12.75" x14ac:dyDescent="0.2"/>
  <cols>
    <col min="1" max="1" width="3.710937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1" width="15.7109375" style="1" customWidth="1"/>
    <col min="12" max="12" width="1.42578125" style="1" customWidth="1"/>
    <col min="13" max="13" width="10.7109375" style="1" hidden="1" customWidth="1"/>
    <col min="14" max="17" width="11.42578125" style="1"/>
    <col min="18" max="18" width="11.42578125" style="1" hidden="1"/>
    <col min="19" max="19" width="11.42578125" style="12"/>
    <col min="20" max="255" width="9.140625" style="1" customWidth="1"/>
    <col min="256" max="1024" width="11.42578125" style="1"/>
  </cols>
  <sheetData>
    <row r="1" spans="2:18" ht="33.75" customHeight="1" x14ac:dyDescent="0.4">
      <c r="B1" s="1511" t="str">
        <f>IF(M4=2,"État des résultats","Statement of Operations")</f>
        <v>Statement of Operations</v>
      </c>
      <c r="C1" s="1511"/>
      <c r="D1" s="1511"/>
      <c r="E1" s="1511"/>
      <c r="F1" s="1511"/>
      <c r="G1" s="1511"/>
      <c r="H1" s="1511"/>
      <c r="I1" s="1511"/>
      <c r="J1" s="1511"/>
      <c r="K1" s="1511"/>
      <c r="L1" s="232"/>
    </row>
    <row r="2" spans="2:18" ht="33.75" customHeight="1" x14ac:dyDescent="0.2">
      <c r="B2" s="1717" t="str">
        <f>'Set up ~ Config'!B2:J2</f>
        <v xml:space="preserve">SSC </v>
      </c>
      <c r="C2" s="1717"/>
      <c r="D2" s="1717"/>
      <c r="E2" s="1717"/>
      <c r="F2" s="1717"/>
      <c r="G2" s="1717"/>
      <c r="H2" s="1717"/>
      <c r="I2" s="1717"/>
      <c r="J2" s="1717"/>
      <c r="K2" s="1717"/>
      <c r="L2" s="232"/>
    </row>
    <row r="3" spans="2:18" ht="48" customHeight="1" x14ac:dyDescent="0.3">
      <c r="B3" s="1619" t="str">
        <f>IF(M4=2,"DÉPENSES","EXPENSES")</f>
        <v>EXPENSES</v>
      </c>
      <c r="C3" s="1619"/>
      <c r="D3" s="1619"/>
      <c r="E3" s="1619"/>
      <c r="F3" s="1619"/>
      <c r="G3" s="1619"/>
      <c r="H3" s="1619"/>
      <c r="I3" s="1619"/>
      <c r="J3" s="1619"/>
      <c r="K3" s="1619"/>
      <c r="L3" s="232"/>
    </row>
    <row r="4" spans="2:18" ht="18.75" hidden="1" customHeight="1" x14ac:dyDescent="0.2">
      <c r="B4" s="1339"/>
      <c r="C4" s="1339"/>
      <c r="D4" s="1339"/>
      <c r="E4" s="1339"/>
      <c r="F4" s="1339"/>
      <c r="G4" s="1339"/>
      <c r="H4" s="1339"/>
      <c r="I4" s="1339"/>
      <c r="J4" s="1339"/>
      <c r="K4" s="1339"/>
      <c r="L4" s="232"/>
      <c r="M4" s="23">
        <f>'Set up ~ Config'!L10</f>
        <v>1</v>
      </c>
      <c r="R4" s="1" t="e">
        <f>"STATEMENT OF EXPENSES &amp; SURPLUS (DEFICIT) FOR THE YEAR ENDING " &amp; UPPER(EndOfYear) &amp;","</f>
        <v>#REF!</v>
      </c>
    </row>
    <row r="5" spans="2:18" ht="23.25" customHeight="1" x14ac:dyDescent="0.2">
      <c r="B5" s="1718" t="str">
        <f>'Cover~Page~Titre'!B58:Y58</f>
        <v>For  Fiscal Year Ending on 2025-08-31</v>
      </c>
      <c r="C5" s="1718"/>
      <c r="D5" s="1718"/>
      <c r="E5" s="1718"/>
      <c r="F5" s="1718"/>
      <c r="G5" s="1718"/>
      <c r="H5" s="1718"/>
      <c r="I5" s="1718"/>
      <c r="J5" s="1718"/>
      <c r="K5" s="1718"/>
      <c r="L5" s="272"/>
      <c r="R5" s="1" t="e">
        <f>"RELEVÉ DES DÉBOURSÉS ET SURPLUS (DÉFICIT) EXERCISE TERMINÉE LE " &amp; UPPER(EndOfYear) &amp;","</f>
        <v>#REF!</v>
      </c>
    </row>
    <row r="6" spans="2:18" ht="12" hidden="1" customHeight="1" x14ac:dyDescent="0.2">
      <c r="B6" s="1756"/>
      <c r="C6" s="1756"/>
      <c r="D6" s="1756"/>
      <c r="E6" s="1756"/>
      <c r="F6" s="1756"/>
      <c r="G6" s="1756"/>
      <c r="H6" s="1756"/>
      <c r="I6" s="1756"/>
      <c r="J6" s="1756"/>
      <c r="K6" s="1756"/>
    </row>
    <row r="7" spans="2:18" ht="14.25" hidden="1" customHeight="1" x14ac:dyDescent="0.2">
      <c r="B7" s="1757"/>
      <c r="C7" s="1757"/>
      <c r="D7" s="1757"/>
      <c r="E7" s="1757"/>
      <c r="F7" s="192"/>
      <c r="G7" s="237"/>
      <c r="H7" s="1758"/>
      <c r="I7" s="1758"/>
      <c r="J7" s="237"/>
      <c r="L7" s="273"/>
    </row>
    <row r="8" spans="2:18" ht="24" customHeight="1" x14ac:dyDescent="0.2">
      <c r="B8" s="238"/>
      <c r="C8" s="196"/>
      <c r="D8" s="196"/>
      <c r="E8" s="196"/>
      <c r="F8" s="196"/>
      <c r="G8" s="196"/>
      <c r="H8" s="196"/>
      <c r="I8" s="196"/>
      <c r="J8" s="239"/>
      <c r="L8" s="273"/>
    </row>
    <row r="9" spans="2:18" ht="18" customHeight="1" x14ac:dyDescent="0.2">
      <c r="B9" s="274"/>
      <c r="C9" s="1722" t="str">
        <f>CONCATENATE('Jrnl Exp ~ Dép'!P4," - ",'Jrnl Exp ~ Dép'!P5)</f>
        <v>5000 - Administrative &amp; Operating Expenses</v>
      </c>
      <c r="D9" s="1722"/>
      <c r="E9" s="1722"/>
      <c r="F9" s="1722"/>
      <c r="G9" s="1722"/>
      <c r="H9" s="1722"/>
      <c r="I9" s="1722"/>
      <c r="J9" s="1722"/>
      <c r="K9" s="1722"/>
    </row>
    <row r="10" spans="2:18" ht="18" customHeight="1" x14ac:dyDescent="0.2">
      <c r="B10" s="1740"/>
      <c r="C10" s="1723" t="str">
        <f>LEFT('Jrnl Exp ~ Dép'!P7,1)</f>
        <v>1</v>
      </c>
      <c r="D10" s="275" t="str">
        <f>RIGHT('Jrnl Exp ~ Dép'!P$7,3)</f>
        <v>(a)</v>
      </c>
      <c r="E10" s="246">
        <f>+'Jrnl Exp ~ Dép'!P6</f>
        <v>5010</v>
      </c>
      <c r="F10" s="1738" t="str">
        <f>+'Jrnl Exp ~ Dép'!P8</f>
        <v>Admin. &amp; Office supplies</v>
      </c>
      <c r="G10" s="1738"/>
      <c r="H10" s="1738"/>
      <c r="I10" s="1738"/>
      <c r="J10" s="264">
        <f>+'Jrnl Exp ~ Dép'!P516</f>
        <v>0</v>
      </c>
      <c r="K10" s="1759"/>
    </row>
    <row r="11" spans="2:18" ht="18" customHeight="1" x14ac:dyDescent="0.2">
      <c r="B11" s="1740"/>
      <c r="C11" s="1723"/>
      <c r="D11" s="275" t="str">
        <f>RIGHT('Jrnl Exp ~ Dép'!Q$7,3)</f>
        <v>(b)</v>
      </c>
      <c r="E11" s="246">
        <f>+'Jrnl Exp ~ Dép'!Q6</f>
        <v>5020</v>
      </c>
      <c r="F11" s="1738" t="str">
        <f>+'Jrnl Exp ~ Dép'!Q8</f>
        <v>Office Equipment</v>
      </c>
      <c r="G11" s="1738"/>
      <c r="H11" s="1738"/>
      <c r="I11" s="1738"/>
      <c r="J11" s="247">
        <f>+'Jrnl Exp ~ Dép'!Q516</f>
        <v>0</v>
      </c>
      <c r="K11" s="1759"/>
      <c r="M11" s="82"/>
    </row>
    <row r="12" spans="2:18" ht="18" customHeight="1" x14ac:dyDescent="0.2">
      <c r="B12" s="1740"/>
      <c r="C12" s="1723"/>
      <c r="D12" s="275" t="str">
        <f>RIGHT('Jrnl Exp ~ Dép'!R$7,3)</f>
        <v>(c)</v>
      </c>
      <c r="E12" s="246">
        <f>+'Jrnl Exp ~ Dép'!R6</f>
        <v>5030</v>
      </c>
      <c r="F12" s="1738" t="str">
        <f>+'Jrnl Exp ~ Dép'!R8</f>
        <v>Sqn Quarters Rental</v>
      </c>
      <c r="G12" s="1738"/>
      <c r="H12" s="1738"/>
      <c r="I12" s="1738"/>
      <c r="J12" s="247">
        <f>+'Jrnl Exp ~ Dép'!R516</f>
        <v>0</v>
      </c>
      <c r="K12" s="1759"/>
    </row>
    <row r="13" spans="2:18" ht="18" customHeight="1" x14ac:dyDescent="0.2">
      <c r="B13" s="1740"/>
      <c r="C13" s="1723"/>
      <c r="D13" s="275" t="str">
        <f>RIGHT('Jrnl Exp ~ Dép'!S$7,3)</f>
        <v>(d)</v>
      </c>
      <c r="E13" s="246">
        <f>+'Jrnl Exp ~ Dép'!S6</f>
        <v>5040</v>
      </c>
      <c r="F13" s="1738" t="str">
        <f>+'Jrnl Exp ~ Dép'!S8</f>
        <v>Maintenance, repairs, expansion</v>
      </c>
      <c r="G13" s="1738"/>
      <c r="H13" s="1738"/>
      <c r="I13" s="1738"/>
      <c r="J13" s="247">
        <f>+'Jrnl Exp ~ Dép'!S516</f>
        <v>0</v>
      </c>
      <c r="K13" s="1759"/>
    </row>
    <row r="14" spans="2:18" ht="18" customHeight="1" x14ac:dyDescent="0.2">
      <c r="B14" s="1740"/>
      <c r="C14" s="1723"/>
      <c r="D14" s="275" t="str">
        <f>RIGHT('Jrnl Exp ~ Dép'!T$7,3)</f>
        <v>(e)</v>
      </c>
      <c r="E14" s="246">
        <f>+'Jrnl Exp ~ Dép'!T6</f>
        <v>5050</v>
      </c>
      <c r="F14" s="1738" t="str">
        <f>+'Jrnl Exp ~ Dép'!T$8</f>
        <v>Utilities,PO Box</v>
      </c>
      <c r="G14" s="1738"/>
      <c r="H14" s="1738"/>
      <c r="I14" s="1738"/>
      <c r="J14" s="247">
        <f>+'Jrnl Exp ~ Dép'!T$516</f>
        <v>0</v>
      </c>
      <c r="K14" s="1759"/>
    </row>
    <row r="15" spans="2:18" ht="18" customHeight="1" x14ac:dyDescent="0.2">
      <c r="B15" s="1740"/>
      <c r="C15" s="1723"/>
      <c r="D15" s="275" t="str">
        <f>RIGHT('Jrnl Exp ~ Dép'!U$7,3)</f>
        <v>(f)</v>
      </c>
      <c r="E15" s="246">
        <f>+'Jrnl Exp ~ Dép'!U6</f>
        <v>5060</v>
      </c>
      <c r="F15" s="1738" t="str">
        <f>+'Jrnl Exp ~ Dép'!U$8</f>
        <v>Meeting costs</v>
      </c>
      <c r="G15" s="1738"/>
      <c r="H15" s="1738"/>
      <c r="I15" s="1738"/>
      <c r="J15" s="247">
        <f>+'Jrnl Exp ~ Dép'!U$516</f>
        <v>0</v>
      </c>
      <c r="K15" s="1759"/>
    </row>
    <row r="16" spans="2:18" ht="18" customHeight="1" x14ac:dyDescent="0.2">
      <c r="B16" s="1740"/>
      <c r="C16" s="1723"/>
      <c r="D16" s="275" t="str">
        <f>RIGHT('Jrnl Exp ~ Dép'!V$7,3)</f>
        <v>(g)</v>
      </c>
      <c r="E16" s="246">
        <f>+'Jrnl Exp ~ Dép'!V6</f>
        <v>5070</v>
      </c>
      <c r="F16" s="1738" t="str">
        <f>+'Jrnl Exp ~ Dép'!V$8</f>
        <v>Committee staff Accoutrement and such</v>
      </c>
      <c r="G16" s="1738"/>
      <c r="H16" s="1738"/>
      <c r="I16" s="1738"/>
      <c r="J16" s="247">
        <f>+'Jrnl Exp ~ Dép'!V$516</f>
        <v>0</v>
      </c>
      <c r="K16" s="1759"/>
    </row>
    <row r="17" spans="2:11" ht="18" customHeight="1" x14ac:dyDescent="0.2">
      <c r="B17" s="1740"/>
      <c r="C17" s="1723"/>
      <c r="D17" s="275" t="str">
        <f>RIGHT('Jrnl Exp ~ Dép'!W$7,3)</f>
        <v>(h)</v>
      </c>
      <c r="E17" s="246">
        <f>+'Jrnl Exp ~ Dép'!W6</f>
        <v>5080</v>
      </c>
      <c r="F17" s="1738" t="str">
        <f>+'Jrnl Exp ~ Dép'!W$8</f>
        <v>Advertising &amp; Recruiting</v>
      </c>
      <c r="G17" s="1738"/>
      <c r="H17" s="1738"/>
      <c r="I17" s="1738"/>
      <c r="J17" s="247">
        <f>+'Jrnl Exp ~ Dép'!W$516</f>
        <v>0</v>
      </c>
      <c r="K17" s="1759"/>
    </row>
    <row r="18" spans="2:11" ht="18" customHeight="1" x14ac:dyDescent="0.2">
      <c r="B18" s="1740"/>
      <c r="C18" s="1723"/>
      <c r="D18" s="275" t="str">
        <f>RIGHT('Jrnl Exp ~ Dép'!X$7,3)</f>
        <v>(i)</v>
      </c>
      <c r="E18" s="246">
        <f>+'Jrnl Exp ~ Dép'!X6</f>
        <v>5090</v>
      </c>
      <c r="F18" s="1738" t="str">
        <f>+'Jrnl Exp ~ Dép'!X$8</f>
        <v>Annual Provincial Committee Assessment</v>
      </c>
      <c r="G18" s="1738"/>
      <c r="H18" s="1738"/>
      <c r="I18" s="1738"/>
      <c r="J18" s="247">
        <f>+'Jrnl Exp ~ Dép'!X$516</f>
        <v>0</v>
      </c>
      <c r="K18" s="1759"/>
    </row>
    <row r="19" spans="2:11" ht="18" customHeight="1" x14ac:dyDescent="0.2">
      <c r="B19" s="1740"/>
      <c r="C19" s="1723"/>
      <c r="D19" s="275" t="str">
        <f>RIGHT('Jrnl Exp ~ Dép'!Y$7,3)</f>
        <v>(j)</v>
      </c>
      <c r="E19" s="246">
        <f>+'Jrnl Exp ~ Dép'!Y6</f>
        <v>5100</v>
      </c>
      <c r="F19" s="1738" t="str">
        <f>+'Jrnl Exp ~ Dép'!Y$8</f>
        <v>Air Group, Air Wing Dues and such</v>
      </c>
      <c r="G19" s="1738"/>
      <c r="H19" s="1738"/>
      <c r="I19" s="1738"/>
      <c r="J19" s="247">
        <f>+'Jrnl Exp ~ Dép'!Y$516</f>
        <v>0</v>
      </c>
      <c r="K19" s="1759"/>
    </row>
    <row r="20" spans="2:11" ht="18" customHeight="1" x14ac:dyDescent="0.2">
      <c r="B20" s="1740"/>
      <c r="C20" s="1723"/>
      <c r="D20" s="275" t="str">
        <f>RIGHT('Jrnl Exp ~ Dép'!Z$7,3)</f>
        <v>(k)</v>
      </c>
      <c r="E20" s="246">
        <f>+'Jrnl Exp ~ Dép'!Z6</f>
        <v>5110</v>
      </c>
      <c r="F20" s="1738" t="str">
        <f>+'Jrnl Exp ~ Dép'!Z$8</f>
        <v>Financial &amp; Bank Charges</v>
      </c>
      <c r="G20" s="1738"/>
      <c r="H20" s="1738"/>
      <c r="I20" s="1738"/>
      <c r="J20" s="247">
        <f>+'Jrnl Exp ~ Dép'!Z$516</f>
        <v>0</v>
      </c>
      <c r="K20" s="1759"/>
    </row>
    <row r="21" spans="2:11" ht="18" customHeight="1" x14ac:dyDescent="0.2">
      <c r="B21" s="1740"/>
      <c r="C21" s="1723"/>
      <c r="D21" s="241" t="str">
        <f>RIGHT('Jrnl Exp ~ Dép'!AA$7,3)</f>
        <v>(l)</v>
      </c>
      <c r="E21" s="246">
        <f>+'Jrnl Exp ~ Dép'!AA$6</f>
        <v>5120</v>
      </c>
      <c r="F21" s="1738" t="str">
        <f>+'Jrnl Exp ~ Dép'!AA$8</f>
        <v>Professional Services</v>
      </c>
      <c r="G21" s="1738"/>
      <c r="H21" s="1738"/>
      <c r="I21" s="1738"/>
      <c r="J21" s="247">
        <f>+'Jrnl Exp ~ Dép'!AA$516</f>
        <v>0</v>
      </c>
      <c r="K21" s="1759"/>
    </row>
    <row r="22" spans="2:11" ht="18" customHeight="1" x14ac:dyDescent="0.2">
      <c r="B22" s="1740"/>
      <c r="C22" s="1723"/>
      <c r="D22" s="241" t="str">
        <f>RIGHT('Jrnl Exp ~ Dép'!AB$7,3)</f>
        <v>(m)</v>
      </c>
      <c r="E22" s="246">
        <f>+'Jrnl Exp ~ Dép'!AB$6</f>
        <v>5130</v>
      </c>
      <c r="F22" s="1738" t="str">
        <f>+'Jrnl Exp ~ Dép'!AB$8</f>
        <v>Compensation for employees</v>
      </c>
      <c r="G22" s="1738"/>
      <c r="H22" s="1738"/>
      <c r="I22" s="1738"/>
      <c r="J22" s="247">
        <f>+'Jrnl Exp ~ Dép'!AB$516</f>
        <v>0</v>
      </c>
      <c r="K22" s="1759"/>
    </row>
    <row r="23" spans="2:11" ht="18" customHeight="1" thickBot="1" x14ac:dyDescent="0.25">
      <c r="B23" s="1740"/>
      <c r="C23" s="1723"/>
      <c r="D23" s="241" t="str">
        <f>RIGHT('Jrnl Exp ~ Dép'!AC$7,3)</f>
        <v>(n)</v>
      </c>
      <c r="E23" s="246">
        <f>+'Jrnl Exp ~ Dép'!AC$6</f>
        <v>5140</v>
      </c>
      <c r="F23" s="1738" t="str">
        <f>+'Jrnl Exp ~ Dép'!AC$8</f>
        <v>Insurance for material and properties</v>
      </c>
      <c r="G23" s="1738"/>
      <c r="H23" s="1738"/>
      <c r="I23" s="1738"/>
      <c r="J23" s="247">
        <f>+'Jrnl Exp ~ Dép'!AC$516</f>
        <v>0</v>
      </c>
      <c r="K23" s="1759"/>
    </row>
    <row r="24" spans="2:11" ht="18" customHeight="1" thickBot="1" x14ac:dyDescent="0.25">
      <c r="B24" s="1740"/>
      <c r="C24" s="1723"/>
      <c r="D24" s="241" t="str">
        <f>RIGHT('Jrnl Exp ~ Dép'!AD$7,3)</f>
        <v>(o)</v>
      </c>
      <c r="E24" s="246">
        <f>+'Jrnl Exp ~ Dép'!AD$6</f>
        <v>5150</v>
      </c>
      <c r="F24" s="1738" t="str">
        <f>+'Jrnl Exp ~ Dép'!AD$8</f>
        <v>Travel Expenses</v>
      </c>
      <c r="G24" s="1738"/>
      <c r="H24" s="1738"/>
      <c r="I24" s="1738"/>
      <c r="J24" s="247">
        <f>+'Jrnl Exp ~ Dép'!AD$516</f>
        <v>0</v>
      </c>
      <c r="K24" s="1759"/>
    </row>
    <row r="25" spans="2:11" ht="18" customHeight="1" thickBot="1" x14ac:dyDescent="0.25">
      <c r="B25" s="1740"/>
      <c r="C25" s="1723"/>
      <c r="D25" s="241" t="str">
        <f>RIGHT('Jrnl Exp ~ Dép'!AE$7,3)</f>
        <v>(p)</v>
      </c>
      <c r="E25" s="246">
        <f>+'Jrnl Exp ~ Dép'!AE$6</f>
        <v>5160</v>
      </c>
      <c r="F25" s="1738" t="str">
        <f>+'Jrnl Exp ~ Dép'!AE$8</f>
        <v>Postage/Shipping Costs</v>
      </c>
      <c r="G25" s="1738"/>
      <c r="H25" s="1738"/>
      <c r="I25" s="1738"/>
      <c r="J25" s="247">
        <f>+'Jrnl Exp ~ Dép'!AE$516</f>
        <v>0</v>
      </c>
      <c r="K25" s="1759"/>
    </row>
    <row r="26" spans="2:11" ht="18" customHeight="1" thickBot="1" x14ac:dyDescent="0.25">
      <c r="B26" s="1740"/>
      <c r="C26" s="1723"/>
      <c r="D26" s="241" t="str">
        <f>RIGHT('Jrnl Exp ~ Dép'!AF$7,3)</f>
        <v>(q)</v>
      </c>
      <c r="E26" s="246">
        <f>+'Jrnl Exp ~ Dép'!AF$6</f>
        <v>5170</v>
      </c>
      <c r="F26" s="1738" t="str">
        <f>'Jrnl Exp ~ Dép'!AF$8</f>
        <v>Facility Rental others than 5030</v>
      </c>
      <c r="G26" s="1738"/>
      <c r="H26" s="1738"/>
      <c r="I26" s="1738"/>
      <c r="J26" s="247">
        <f>+'Jrnl Exp ~ Dép'!AF$516</f>
        <v>0</v>
      </c>
      <c r="K26" s="1759"/>
    </row>
    <row r="27" spans="2:11" ht="18" customHeight="1" thickBot="1" x14ac:dyDescent="0.25">
      <c r="B27" s="1740"/>
      <c r="C27" s="1723"/>
      <c r="D27" s="241" t="str">
        <f>RIGHT('Jrnl Exp ~ Dép'!AG$7,3)</f>
        <v>(r)</v>
      </c>
      <c r="E27" s="246">
        <f>+'Jrnl Exp ~ Dép'!AG$6</f>
        <v>5180</v>
      </c>
      <c r="F27" s="1738" t="str">
        <f>IF('Jrnl Exp ~ Dép'!AG$8="Disponible ~ Available",IF($M$4=2,"Disponible","Available"),'Jrnl Exp ~ Dép'!AG$8)</f>
        <v>Storage
Rental
Expenses</v>
      </c>
      <c r="G27" s="1738"/>
      <c r="H27" s="1738"/>
      <c r="I27" s="1738"/>
      <c r="J27" s="247">
        <f>+'Jrnl Exp ~ Dép'!AG$516</f>
        <v>0</v>
      </c>
      <c r="K27" s="1759"/>
    </row>
    <row r="28" spans="2:11" ht="18" customHeight="1" thickBot="1" x14ac:dyDescent="0.25">
      <c r="B28" s="1740"/>
      <c r="C28" s="1723"/>
      <c r="D28" s="241" t="str">
        <f>RIGHT('Jrnl Exp ~ Dép'!AH$7,3)</f>
        <v>(s)</v>
      </c>
      <c r="E28" s="246">
        <f>+'Jrnl Exp ~ Dép'!AH$6</f>
        <v>5185</v>
      </c>
      <c r="F28" s="1738" t="str">
        <f>IF('Jrnl Exp ~ Dép'!AH$8="Disponible ~ Available",IF($M$4=2,"Disponible","Available"),'Jrnl Exp ~ Dép'!AH$8)</f>
        <v>Available</v>
      </c>
      <c r="G28" s="1738"/>
      <c r="H28" s="1738"/>
      <c r="I28" s="1738"/>
      <c r="J28" s="247">
        <f>+'Jrnl Exp ~ Dép'!AH$516</f>
        <v>0</v>
      </c>
      <c r="K28" s="1759"/>
    </row>
    <row r="29" spans="2:11" ht="18" customHeight="1" thickBot="1" x14ac:dyDescent="0.25">
      <c r="B29" s="1740"/>
      <c r="C29" s="1723"/>
      <c r="D29" s="241" t="str">
        <f>RIGHT('Jrnl Exp ~ Dép'!AI$7,3)</f>
        <v>(t)</v>
      </c>
      <c r="E29" s="246">
        <f>+'Jrnl Exp ~ Dép'!AI$6</f>
        <v>5190</v>
      </c>
      <c r="F29" s="1738" t="str">
        <f>IF('Jrnl Exp ~ Dép'!AI$8="Disponible ~ Available",IF($M$4=2,"Disponible","Available"),'Jrnl Exp ~ Dép'!AI$8)</f>
        <v>Available</v>
      </c>
      <c r="G29" s="1738"/>
      <c r="H29" s="1738"/>
      <c r="I29" s="1738"/>
      <c r="J29" s="247">
        <f>+'Jrnl Exp ~ Dép'!AI$516</f>
        <v>0</v>
      </c>
      <c r="K29" s="1759"/>
    </row>
    <row r="30" spans="2:11" ht="18" customHeight="1" thickBot="1" x14ac:dyDescent="0.25">
      <c r="B30" s="1740"/>
      <c r="C30" s="1723"/>
      <c r="D30" s="241" t="str">
        <f>RIGHT('Jrnl Exp ~ Dép'!AJ$7,3)</f>
        <v>(u)</v>
      </c>
      <c r="E30" s="246">
        <f>+'Jrnl Exp ~ Dép'!AJ$6</f>
        <v>5195</v>
      </c>
      <c r="F30" s="1738" t="str">
        <f>IF('Jrnl Exp ~ Dép'!AJ$8="Disponible ~ Available",IF($M$4=2,"Disponible","Available"),'Jrnl Exp ~ Dép'!AJ$8)</f>
        <v>Available</v>
      </c>
      <c r="G30" s="1738"/>
      <c r="H30" s="1738"/>
      <c r="I30" s="1738"/>
      <c r="J30" s="247">
        <f>+'Jrnl Exp ~ Dép'!AJ$516</f>
        <v>0</v>
      </c>
      <c r="K30" s="1759"/>
    </row>
    <row r="31" spans="2:11" ht="18" customHeight="1" thickBot="1" x14ac:dyDescent="0.25">
      <c r="B31" s="1740"/>
      <c r="C31" s="1723"/>
      <c r="D31" s="241" t="str">
        <f>RIGHT('Jrnl Exp ~ Dép'!AK$7,3)</f>
        <v>(v)</v>
      </c>
      <c r="E31" s="246">
        <f>+'Jrnl Exp ~ Dép'!AK$6</f>
        <v>5200</v>
      </c>
      <c r="F31" s="1738" t="str">
        <f>IF('Jrnl Exp ~ Dép'!AK$8="Disponible ~ Available",IF($M$4=2,"Disponible","Available"),'Jrnl Exp ~ Dép'!AK$8)</f>
        <v>Available</v>
      </c>
      <c r="G31" s="1738"/>
      <c r="H31" s="1738"/>
      <c r="I31" s="1738"/>
      <c r="J31" s="247">
        <f>+'Jrnl Exp ~ Dép'!AK$516</f>
        <v>0</v>
      </c>
      <c r="K31" s="1759"/>
    </row>
    <row r="32" spans="2:11" ht="18" customHeight="1" thickBot="1" x14ac:dyDescent="0.25">
      <c r="B32" s="1740"/>
      <c r="C32" s="1723"/>
      <c r="D32" s="241" t="str">
        <f>RIGHT('Jrnl Exp ~ Dép'!AL$7,3)</f>
        <v>(w)</v>
      </c>
      <c r="E32" s="246">
        <f>+'Jrnl Exp ~ Dép'!AL$6</f>
        <v>5205</v>
      </c>
      <c r="F32" s="1738" t="str">
        <f>IF('Jrnl Exp ~ Dép'!AL$8="Disponible ~ Available",IF($M$4=2,"Disponible","Available"),'Jrnl Exp ~ Dép'!AL$8)</f>
        <v>Available</v>
      </c>
      <c r="G32" s="1738"/>
      <c r="H32" s="1738"/>
      <c r="I32" s="1738"/>
      <c r="J32" s="247">
        <f>+'Jrnl Exp ~ Dép'!AL$516</f>
        <v>0</v>
      </c>
      <c r="K32" s="1759"/>
    </row>
    <row r="33" spans="2:13" ht="18" customHeight="1" thickBot="1" x14ac:dyDescent="0.25">
      <c r="B33" s="1740"/>
      <c r="C33" s="1723"/>
      <c r="D33" s="241" t="str">
        <f>RIGHT('Jrnl Exp ~ Dép'!AM$7,3)</f>
        <v>(x)</v>
      </c>
      <c r="E33" s="246">
        <f>+'Jrnl Exp ~ Dép'!AM$6</f>
        <v>5210</v>
      </c>
      <c r="F33" s="1738" t="str">
        <f>IF('Jrnl Exp ~ Dép'!AM$8="Disponible ~ Available",IF($M$4=2,"Disponible","Available"),'Jrnl Exp ~ Dép'!AM$8)</f>
        <v>Available</v>
      </c>
      <c r="G33" s="1738"/>
      <c r="H33" s="1738"/>
      <c r="I33" s="1738"/>
      <c r="J33" s="247">
        <f>+'Jrnl Exp ~ Dép'!AM$516</f>
        <v>0</v>
      </c>
      <c r="K33" s="1759"/>
    </row>
    <row r="34" spans="2:13" ht="18" customHeight="1" thickBot="1" x14ac:dyDescent="0.25">
      <c r="B34" s="1740"/>
      <c r="C34" s="1723"/>
      <c r="D34" s="241" t="str">
        <f>RIGHT('Jrnl Exp ~ Dép'!AN$7,3)</f>
        <v>(y)</v>
      </c>
      <c r="E34" s="246">
        <f>+'Jrnl Exp ~ Dép'!AN$6</f>
        <v>5215</v>
      </c>
      <c r="F34" s="1738" t="str">
        <f>IF('Jrnl Exp ~ Dép'!AN$8="Disponible ~ Available",IF($M$4=2,"Disponible","Available"),'Jrnl Exp ~ Dép'!AN$8)</f>
        <v>Available</v>
      </c>
      <c r="G34" s="1738"/>
      <c r="H34" s="1738"/>
      <c r="I34" s="1738"/>
      <c r="J34" s="247">
        <f>+'Jrnl Exp ~ Dép'!AN$516</f>
        <v>0</v>
      </c>
      <c r="K34" s="1759"/>
    </row>
    <row r="35" spans="2:13" ht="18" customHeight="1" thickBot="1" x14ac:dyDescent="0.25">
      <c r="B35" s="1740"/>
      <c r="C35" s="1723"/>
      <c r="D35" s="276" t="str">
        <f>RIGHT('Jrnl Exp ~ Dép'!AO$7,3)</f>
        <v>(z)</v>
      </c>
      <c r="E35" s="246">
        <f>+'Jrnl Exp ~ Dép'!AO$6</f>
        <v>5220</v>
      </c>
      <c r="F35" s="1738" t="str">
        <f>IF('Jrnl Exp ~ Dép'!AO$8="Disponible ~ Available",IF($M$4=2,"Disponible","Available"),'Jrnl Exp ~ Dép'!AO$8)</f>
        <v>Available</v>
      </c>
      <c r="G35" s="1738"/>
      <c r="H35" s="1738"/>
      <c r="I35" s="1738"/>
      <c r="J35" s="247">
        <f>+'Jrnl Exp ~ Dép'!AO$516</f>
        <v>0</v>
      </c>
      <c r="K35" s="1759"/>
    </row>
    <row r="36" spans="2:13" ht="18" customHeight="1" x14ac:dyDescent="0.2">
      <c r="B36" s="277"/>
      <c r="C36" s="238"/>
      <c r="D36" s="278"/>
      <c r="E36" s="257">
        <v>5299</v>
      </c>
      <c r="F36" s="1749" t="str">
        <f>CONCATENATE('Jrnl Exp ~ Dép'!P5," - ","Total:")</f>
        <v>Administrative &amp; Operating Expenses - Total:</v>
      </c>
      <c r="G36" s="1749"/>
      <c r="H36" s="1749"/>
      <c r="I36" s="1749"/>
      <c r="J36" s="1749"/>
      <c r="K36" s="279">
        <f>SUM(J10:J35)</f>
        <v>0</v>
      </c>
      <c r="M36" s="82"/>
    </row>
    <row r="37" spans="2:13" x14ac:dyDescent="0.2">
      <c r="F37" s="1760"/>
      <c r="G37" s="1760"/>
      <c r="H37" s="1760"/>
      <c r="I37" s="1760"/>
    </row>
    <row r="38" spans="2:13" ht="18" customHeight="1" x14ac:dyDescent="0.2">
      <c r="B38" s="1750"/>
      <c r="C38" s="1722" t="str">
        <f>CONCATENATE('Jrnl Exp ~ Dép'!AP4," - ",'Jrnl Exp ~ Dép'!AP5)</f>
        <v>5300 - DND Supported Mandatory Trg/Activities Expenses</v>
      </c>
      <c r="D38" s="1722"/>
      <c r="E38" s="1722"/>
      <c r="F38" s="1722"/>
      <c r="G38" s="1722"/>
      <c r="H38" s="1722"/>
      <c r="I38" s="1722"/>
      <c r="J38" s="1722"/>
      <c r="K38" s="1722"/>
    </row>
    <row r="39" spans="2:13" ht="18" customHeight="1" x14ac:dyDescent="0.2">
      <c r="B39" s="1751"/>
      <c r="C39" s="1762" t="str">
        <f>LEFT('Jrnl Exp ~ Dép'!AP7,1)</f>
        <v>3</v>
      </c>
      <c r="D39" s="275" t="str">
        <f>RIGHT('Jrnl Exp ~ Dép'!AP$7,3)</f>
        <v>(a)</v>
      </c>
      <c r="E39" s="246">
        <f>+'Jrnl Exp ~ Dép'!AP6</f>
        <v>5310</v>
      </c>
      <c r="F39" s="1761" t="str">
        <f>+'Jrnl Exp ~ Dép'!AP8</f>
        <v>Field Trg Ex (FTX)</v>
      </c>
      <c r="G39" s="1761"/>
      <c r="H39" s="1761"/>
      <c r="I39" s="1761"/>
      <c r="J39" s="259">
        <f>+'Jrnl Exp ~ Dép'!AP516</f>
        <v>0</v>
      </c>
      <c r="K39" s="1743"/>
    </row>
    <row r="40" spans="2:13" ht="18" customHeight="1" x14ac:dyDescent="0.2">
      <c r="B40" s="1751"/>
      <c r="C40" s="1763"/>
      <c r="D40" s="275" t="str">
        <f>RIGHT('Jrnl Exp ~ Dép'!AU$7,3)</f>
        <v>(b)</v>
      </c>
      <c r="E40" s="246">
        <f>+'Jrnl Exp ~ Dép'!AU6</f>
        <v>5315</v>
      </c>
      <c r="F40" s="1761" t="str">
        <f>+'Jrnl Exp ~ Dép'!AU8</f>
        <v>Other training</v>
      </c>
      <c r="G40" s="1761"/>
      <c r="H40" s="1761"/>
      <c r="I40" s="1761"/>
      <c r="J40" s="259">
        <f>+'Jrnl Exp ~ Dép'!AU516</f>
        <v>0</v>
      </c>
      <c r="K40" s="1744"/>
    </row>
    <row r="41" spans="2:13" ht="18" customHeight="1" x14ac:dyDescent="0.2">
      <c r="B41" s="1751"/>
      <c r="C41" s="1763"/>
      <c r="D41" s="275" t="str">
        <f>RIGHT('Jrnl Exp ~ Dép'!AZ$7,3)</f>
        <v>(c)</v>
      </c>
      <c r="E41" s="246">
        <f>+'Jrnl Exp ~ Dép'!AZ$6</f>
        <v>5320</v>
      </c>
      <c r="F41" s="1737" t="str">
        <f>+'Jrnl Exp ~ Dép'!AZ$8</f>
        <v>Training Equipment</v>
      </c>
      <c r="G41" s="1737"/>
      <c r="H41" s="1737"/>
      <c r="I41" s="1737"/>
      <c r="J41" s="280">
        <f>+'Jrnl Exp ~ Dép'!AZ$516</f>
        <v>0</v>
      </c>
      <c r="K41" s="1744"/>
    </row>
    <row r="42" spans="2:13" ht="18" customHeight="1" x14ac:dyDescent="0.2">
      <c r="B42" s="1751"/>
      <c r="C42" s="1763"/>
      <c r="D42" s="275" t="str">
        <f>RIGHT('Jrnl Exp ~ Dép'!BA$7,3)</f>
        <v>(d)</v>
      </c>
      <c r="E42" s="246">
        <f>+'Jrnl Exp ~ Dép'!BA$6</f>
        <v>5325</v>
      </c>
      <c r="F42" s="1737" t="str">
        <f>+'Jrnl Exp ~ Dép'!BA$8</f>
        <v>Sports &amp; Phys Ed Related Activities</v>
      </c>
      <c r="G42" s="1737"/>
      <c r="H42" s="1737"/>
      <c r="I42" s="1737"/>
      <c r="J42" s="280">
        <f>+'Jrnl Exp ~ Dép'!BA$516</f>
        <v>0</v>
      </c>
      <c r="K42" s="1744"/>
    </row>
    <row r="43" spans="2:13" ht="18" customHeight="1" x14ac:dyDescent="0.2">
      <c r="B43" s="1751"/>
      <c r="C43" s="1763"/>
      <c r="D43" s="275" t="str">
        <f>RIGHT('Jrnl Exp ~ Dép'!BB$7,3)</f>
        <v>(e)</v>
      </c>
      <c r="E43" s="246">
        <f>+'Jrnl Exp ~ Dép'!BB$6</f>
        <v>5330</v>
      </c>
      <c r="F43" s="1737" t="str">
        <f>+'Jrnl Exp ~ Dép'!BB$8</f>
        <v>Flying and Gliding related outlays</v>
      </c>
      <c r="G43" s="1737"/>
      <c r="H43" s="1737"/>
      <c r="I43" s="1737"/>
      <c r="J43" s="280">
        <f>+'Jrnl Exp ~ Dép'!BB$516</f>
        <v>0</v>
      </c>
      <c r="K43" s="1744"/>
    </row>
    <row r="44" spans="2:13" ht="18" customHeight="1" x14ac:dyDescent="0.2">
      <c r="B44" s="1751"/>
      <c r="C44" s="1763"/>
      <c r="D44" s="275" t="str">
        <f>RIGHT('Jrnl Exp ~ Dép'!BC$7,3)</f>
        <v>(f)</v>
      </c>
      <c r="E44" s="246">
        <f>+'Jrnl Exp ~ Dép'!BC$6</f>
        <v>5335</v>
      </c>
      <c r="F44" s="1737" t="str">
        <f>+'Jrnl Exp ~ Dép'!BC$8</f>
        <v>Community Service</v>
      </c>
      <c r="G44" s="1737"/>
      <c r="H44" s="1737"/>
      <c r="I44" s="1737"/>
      <c r="J44" s="280">
        <f>+'Jrnl Exp ~ Dép'!BC$516</f>
        <v>0</v>
      </c>
      <c r="K44" s="1744"/>
    </row>
    <row r="45" spans="2:13" ht="18" customHeight="1" x14ac:dyDescent="0.2">
      <c r="B45" s="1751"/>
      <c r="C45" s="1763"/>
      <c r="D45" s="275" t="str">
        <f>RIGHT('Jrnl Exp ~ Dép'!BD$7,3)</f>
        <v>(g)</v>
      </c>
      <c r="E45" s="246">
        <f>+'Jrnl Exp ~ Dép'!BD$6</f>
        <v>5340</v>
      </c>
      <c r="F45" s="1737" t="str">
        <f>+'Jrnl Exp ~ Dép'!BD$8</f>
        <v>Shooting Pgm</v>
      </c>
      <c r="G45" s="1737"/>
      <c r="H45" s="1737"/>
      <c r="I45" s="1737"/>
      <c r="J45" s="280">
        <f>+'Jrnl Exp ~ Dép'!BD$516</f>
        <v>0</v>
      </c>
      <c r="K45" s="1744"/>
    </row>
    <row r="46" spans="2:13" ht="18" customHeight="1" x14ac:dyDescent="0.2">
      <c r="B46" s="1751"/>
      <c r="C46" s="1763"/>
      <c r="D46" s="275" t="str">
        <f>RIGHT('Jrnl Exp ~ Dép'!BE$7,3)</f>
        <v>(h)</v>
      </c>
      <c r="E46" s="246">
        <f>+'Jrnl Exp ~ Dép'!BE$6</f>
        <v>5345</v>
      </c>
      <c r="F46" s="1737" t="str">
        <f>+'Jrnl Exp ~ Dép'!BE$8</f>
        <v>Aviation Day</v>
      </c>
      <c r="G46" s="1737"/>
      <c r="H46" s="1737"/>
      <c r="I46" s="1737"/>
      <c r="J46" s="280">
        <f>+'Jrnl Exp ~ Dép'!BE$516</f>
        <v>0</v>
      </c>
      <c r="K46" s="1744"/>
    </row>
    <row r="47" spans="2:13" ht="18" customHeight="1" x14ac:dyDescent="0.2">
      <c r="B47" s="1751"/>
      <c r="C47" s="1763"/>
      <c r="D47" s="275" t="str">
        <f>RIGHT('Jrnl Exp ~ Dép'!BF$7,3)</f>
        <v>(i)</v>
      </c>
      <c r="E47" s="246">
        <f>+'Jrnl Exp ~ Dép'!BF$6</f>
        <v>5350</v>
      </c>
      <c r="F47" s="1737" t="str">
        <f>+'Jrnl Exp ~ Dép'!BF$8</f>
        <v>Mess Dinner</v>
      </c>
      <c r="G47" s="1737"/>
      <c r="H47" s="1737"/>
      <c r="I47" s="1737"/>
      <c r="J47" s="280">
        <f>+'Jrnl Exp ~ Dép'!BF$516</f>
        <v>0</v>
      </c>
      <c r="K47" s="1744"/>
    </row>
    <row r="48" spans="2:13" ht="18" customHeight="1" x14ac:dyDescent="0.2">
      <c r="B48" s="1751"/>
      <c r="C48" s="1763"/>
      <c r="D48" s="241" t="str">
        <f>RIGHT('Jrnl Exp ~ Dép'!BG$7,3)</f>
        <v>(i)</v>
      </c>
      <c r="E48" s="246">
        <f>+'Jrnl Exp ~ Dép'!BG$6</f>
        <v>5355</v>
      </c>
      <c r="F48" s="1737" t="str">
        <f>+'Jrnl Exp ~ Dép'!BG$8</f>
        <v>Ground School</v>
      </c>
      <c r="G48" s="1737"/>
      <c r="H48" s="1737"/>
      <c r="I48" s="1737"/>
      <c r="J48" s="280">
        <f>+'Jrnl Exp ~ Dép'!BG$516</f>
        <v>0</v>
      </c>
      <c r="K48" s="1744"/>
    </row>
    <row r="49" spans="2:13" ht="18" customHeight="1" x14ac:dyDescent="0.2">
      <c r="B49" s="1751"/>
      <c r="C49" s="1763"/>
      <c r="D49" s="241" t="str">
        <f>RIGHT('Jrnl Exp ~ Dép'!BH$7,3)</f>
        <v>(j)</v>
      </c>
      <c r="E49" s="246">
        <f>+'Jrnl Exp ~ Dép'!BH$6</f>
        <v>5360</v>
      </c>
      <c r="F49" s="1738" t="str">
        <f>IF('Jrnl Exp ~ Dép'!BH$8="Disponible ~ Available",IF($M$4=2,"Disponible","Available"),'Jrnl Exp ~ Dép'!BH$8)</f>
        <v>Available</v>
      </c>
      <c r="G49" s="1738"/>
      <c r="H49" s="1738"/>
      <c r="I49" s="1738"/>
      <c r="J49" s="280">
        <f>+'Jrnl Exp ~ Dép'!BH$516</f>
        <v>0</v>
      </c>
      <c r="K49" s="1744"/>
    </row>
    <row r="50" spans="2:13" ht="18" customHeight="1" x14ac:dyDescent="0.2">
      <c r="B50" s="1751"/>
      <c r="C50" s="1763"/>
      <c r="D50" s="241" t="str">
        <f>RIGHT('Jrnl Exp ~ Dép'!BI$7,3)</f>
        <v>(k)</v>
      </c>
      <c r="E50" s="246">
        <f>+'Jrnl Exp ~ Dép'!BI$6</f>
        <v>5365</v>
      </c>
      <c r="F50" s="1738" t="str">
        <f>IF('Jrnl Exp ~ Dép'!BI$8="Disponible ~ Available",IF($M$4=2,"Disponible","Available"),'Jrnl Exp ~ Dép'!BI$8)</f>
        <v>Available</v>
      </c>
      <c r="G50" s="1738"/>
      <c r="H50" s="1738"/>
      <c r="I50" s="1738"/>
      <c r="J50" s="280">
        <f>+'Jrnl Exp ~ Dép'!BI$516</f>
        <v>0</v>
      </c>
      <c r="K50" s="1744"/>
    </row>
    <row r="51" spans="2:13" ht="18" customHeight="1" x14ac:dyDescent="0.2">
      <c r="B51" s="1751"/>
      <c r="C51" s="1763"/>
      <c r="D51" s="241" t="str">
        <f>RIGHT('Jrnl Exp ~ Dép'!BJ$7,3)</f>
        <v>(l)</v>
      </c>
      <c r="E51" s="246">
        <f>+'Jrnl Exp ~ Dép'!BJ$6</f>
        <v>5370</v>
      </c>
      <c r="F51" s="1738" t="str">
        <f>IF('Jrnl Exp ~ Dép'!BJ$8="Disponible ~ Available",IF($M$4=2,"Disponible","Available"),'Jrnl Exp ~ Dép'!BJ$8)</f>
        <v>Available</v>
      </c>
      <c r="G51" s="1738"/>
      <c r="H51" s="1738"/>
      <c r="I51" s="1738"/>
      <c r="J51" s="280">
        <f>+'Jrnl Exp ~ Dép'!BJ$516</f>
        <v>0</v>
      </c>
      <c r="K51" s="1744"/>
    </row>
    <row r="52" spans="2:13" ht="18" customHeight="1" x14ac:dyDescent="0.2">
      <c r="B52" s="1751"/>
      <c r="C52" s="1763"/>
      <c r="D52" s="241" t="str">
        <f>RIGHT('Jrnl Exp ~ Dép'!BK$7,3)</f>
        <v>(m)</v>
      </c>
      <c r="E52" s="246">
        <f>+'Jrnl Exp ~ Dép'!BK$6</f>
        <v>5375</v>
      </c>
      <c r="F52" s="1738" t="str">
        <f>IF('Jrnl Exp ~ Dép'!BK$8="Disponible ~ Available",IF($M$4=2,"Disponible","Available"),'Jrnl Exp ~ Dép'!BK$8)</f>
        <v>Available</v>
      </c>
      <c r="G52" s="1738"/>
      <c r="H52" s="1738"/>
      <c r="I52" s="1738"/>
      <c r="J52" s="280">
        <f>+'Jrnl Exp ~ Dép'!BK$516</f>
        <v>0</v>
      </c>
      <c r="K52" s="1744"/>
    </row>
    <row r="53" spans="2:13" ht="18" customHeight="1" thickBot="1" x14ac:dyDescent="0.25">
      <c r="B53" s="1751"/>
      <c r="C53" s="1763"/>
      <c r="D53" s="275" t="str">
        <f>RIGHT('Jrnl Exp ~ Dép'!BL$7,3)</f>
        <v>(n)</v>
      </c>
      <c r="E53" s="246">
        <f>+'Jrnl Exp ~ Dép'!BL$6</f>
        <v>5380</v>
      </c>
      <c r="F53" s="1738" t="str">
        <f>IF('Jrnl Exp ~ Dép'!BL$8="Disponible ~ Available",IF($M$4=2,"Disponible","Available"),'Jrnl Exp ~ Dép'!BL$8)</f>
        <v>Available</v>
      </c>
      <c r="G53" s="1738"/>
      <c r="H53" s="1738"/>
      <c r="I53" s="1738"/>
      <c r="J53" s="280">
        <f>+'Jrnl Exp ~ Dép'!BL$516</f>
        <v>0</v>
      </c>
      <c r="K53" s="1745"/>
    </row>
    <row r="54" spans="2:13" ht="18" customHeight="1" x14ac:dyDescent="0.2">
      <c r="B54" s="1752"/>
      <c r="C54" s="495"/>
      <c r="D54" s="496"/>
      <c r="E54" s="257">
        <v>5399</v>
      </c>
      <c r="F54" s="1749" t="str">
        <f>CONCATENATE('Jrnl Exp ~ Dép'!AP5," - ","Total:")</f>
        <v>DND Supported Mandatory Trg/Activities Expenses - Total:</v>
      </c>
      <c r="G54" s="1749"/>
      <c r="H54" s="1749"/>
      <c r="I54" s="1749"/>
      <c r="J54" s="1749"/>
      <c r="K54" s="279">
        <f>SUM(J39:J53)</f>
        <v>0</v>
      </c>
      <c r="M54" s="82"/>
    </row>
    <row r="55" spans="2:13" ht="18" customHeight="1" x14ac:dyDescent="0.2">
      <c r="B55" s="26"/>
      <c r="C55" s="238"/>
      <c r="D55" s="492"/>
      <c r="E55" s="493"/>
      <c r="F55" s="494"/>
      <c r="G55" s="494"/>
      <c r="H55" s="494"/>
      <c r="I55" s="494"/>
      <c r="J55" s="494"/>
      <c r="K55" s="283" t="s">
        <v>462</v>
      </c>
      <c r="M55" s="82"/>
    </row>
    <row r="56" spans="2:13" ht="18" customHeight="1" x14ac:dyDescent="0.2">
      <c r="B56" s="1746"/>
      <c r="C56" s="1753" t="str">
        <f>CONCATENATE('Jrnl Exp ~ Dép'!BM4," - ",'Jrnl Exp ~ Dép'!BM5)</f>
        <v>5400 - DND Supported Optional Trg/Activities Expenses</v>
      </c>
      <c r="D56" s="1754"/>
      <c r="E56" s="1754"/>
      <c r="F56" s="1754"/>
      <c r="G56" s="1754"/>
      <c r="H56" s="1754"/>
      <c r="I56" s="1754"/>
      <c r="J56" s="1755"/>
      <c r="K56" s="1743"/>
    </row>
    <row r="57" spans="2:13" ht="18" customHeight="1" thickBot="1" x14ac:dyDescent="0.25">
      <c r="B57" s="1747"/>
      <c r="C57" s="1723" t="str">
        <f>LEFT('Jrnl Exp ~ Dép'!BM7,1)</f>
        <v>4</v>
      </c>
      <c r="D57" s="275" t="str">
        <f>RIGHT('Jrnl Exp ~ Dép'!BM$7,3)</f>
        <v>(a)</v>
      </c>
      <c r="E57" s="246">
        <f>+'Jrnl Exp ~ Dép'!BM$6</f>
        <v>5410</v>
      </c>
      <c r="F57" s="1737" t="str">
        <f>+'Jrnl Exp ~ Dép'!BM$8</f>
        <v>Band</v>
      </c>
      <c r="G57" s="1737"/>
      <c r="H57" s="1737"/>
      <c r="I57" s="1737"/>
      <c r="J57" s="280">
        <f>+'Jrnl Exp ~ Dép'!BM$516</f>
        <v>0</v>
      </c>
      <c r="K57" s="1744"/>
    </row>
    <row r="58" spans="2:13" ht="18" customHeight="1" thickBot="1" x14ac:dyDescent="0.25">
      <c r="B58" s="1747"/>
      <c r="C58" s="1723"/>
      <c r="D58" s="275" t="str">
        <f>RIGHT('Jrnl Exp ~ Dép'!BN$7,3)</f>
        <v>(b)</v>
      </c>
      <c r="E58" s="246">
        <f>+'Jrnl Exp ~ Dép'!BN$6</f>
        <v>5415</v>
      </c>
      <c r="F58" s="1737" t="str">
        <f>+'Jrnl Exp ~ Dép'!BN$8</f>
        <v>Drill Team</v>
      </c>
      <c r="G58" s="1737"/>
      <c r="H58" s="1737"/>
      <c r="I58" s="1737"/>
      <c r="J58" s="280">
        <f>+'Jrnl Exp ~ Dép'!BN$516</f>
        <v>0</v>
      </c>
      <c r="K58" s="1744"/>
    </row>
    <row r="59" spans="2:13" ht="18" customHeight="1" thickBot="1" x14ac:dyDescent="0.25">
      <c r="B59" s="1747"/>
      <c r="C59" s="1723"/>
      <c r="D59" s="275" t="str">
        <f>RIGHT('Jrnl Exp ~ Dép'!BO$7,3)</f>
        <v>(c)</v>
      </c>
      <c r="E59" s="246">
        <f>+'Jrnl Exp ~ Dép'!BO$6</f>
        <v>5420</v>
      </c>
      <c r="F59" s="1737" t="str">
        <f>+'Jrnl Exp ~ Dép'!BO$8</f>
        <v>Marksmanship</v>
      </c>
      <c r="G59" s="1737"/>
      <c r="H59" s="1737"/>
      <c r="I59" s="1737"/>
      <c r="J59" s="280">
        <f>+'Jrnl Exp ~ Dép'!BO$516</f>
        <v>0</v>
      </c>
      <c r="K59" s="1744"/>
    </row>
    <row r="60" spans="2:13" ht="18" customHeight="1" thickBot="1" x14ac:dyDescent="0.25">
      <c r="B60" s="1747"/>
      <c r="C60" s="1723"/>
      <c r="D60" s="275" t="str">
        <f>RIGHT('Jrnl Exp ~ Dép'!BP$7,3)</f>
        <v>(d)</v>
      </c>
      <c r="E60" s="246">
        <f>+'Jrnl Exp ~ Dép'!BP$6</f>
        <v>5425</v>
      </c>
      <c r="F60" s="1737" t="str">
        <f>+'Jrnl Exp ~ Dép'!BP$8</f>
        <v>Biathlon</v>
      </c>
      <c r="G60" s="1737"/>
      <c r="H60" s="1737"/>
      <c r="I60" s="1737"/>
      <c r="J60" s="280">
        <f>+'Jrnl Exp ~ Dép'!BP$516</f>
        <v>0</v>
      </c>
      <c r="K60" s="1744"/>
    </row>
    <row r="61" spans="2:13" ht="18" customHeight="1" thickBot="1" x14ac:dyDescent="0.25">
      <c r="B61" s="1747"/>
      <c r="C61" s="1723"/>
      <c r="D61" s="275" t="str">
        <f>RIGHT('Jrnl Exp ~ Dép'!BQ$7,3)</f>
        <v>(e)</v>
      </c>
      <c r="E61" s="246">
        <f>+'Jrnl Exp ~ Dép'!BQ$6</f>
        <v>5430</v>
      </c>
      <c r="F61" s="1737" t="str">
        <f>+'Jrnl Exp ~ Dép'!BQ$8</f>
        <v>Effective Speaking</v>
      </c>
      <c r="G61" s="1737"/>
      <c r="H61" s="1737"/>
      <c r="I61" s="1737"/>
      <c r="J61" s="280">
        <f>+'Jrnl Exp ~ Dép'!BQ$516</f>
        <v>0</v>
      </c>
      <c r="K61" s="1744"/>
    </row>
    <row r="62" spans="2:13" ht="18" customHeight="1" thickBot="1" x14ac:dyDescent="0.25">
      <c r="B62" s="1747"/>
      <c r="C62" s="1723"/>
      <c r="D62" s="275" t="str">
        <f>RIGHT('Jrnl Exp ~ Dép'!BR$7,3)</f>
        <v>(f)</v>
      </c>
      <c r="E62" s="246">
        <f>+'Jrnl Exp ~ Dép'!BR$6</f>
        <v>5435</v>
      </c>
      <c r="F62" s="1738" t="str">
        <f>IF('Jrnl Exp ~ Dép'!BR$8="Disponible ~ Available",IF($M$4=2,"Disponible","Available"),'Jrnl Exp ~ Dép'!BR$8)</f>
        <v>Available</v>
      </c>
      <c r="G62" s="1738"/>
      <c r="H62" s="1738"/>
      <c r="I62" s="1738"/>
      <c r="J62" s="280">
        <f>+'Jrnl Exp ~ Dép'!BR$516</f>
        <v>0</v>
      </c>
      <c r="K62" s="1744"/>
    </row>
    <row r="63" spans="2:13" ht="18" customHeight="1" thickBot="1" x14ac:dyDescent="0.25">
      <c r="B63" s="1747"/>
      <c r="C63" s="1723"/>
      <c r="D63" s="275" t="str">
        <f>RIGHT('Jrnl Exp ~ Dép'!BS$7,3)</f>
        <v>(g)</v>
      </c>
      <c r="E63" s="246">
        <f>+'Jrnl Exp ~ Dép'!BS$6</f>
        <v>5440</v>
      </c>
      <c r="F63" s="1738" t="str">
        <f>IF('Jrnl Exp ~ Dép'!BS$8="Disponible ~ Available",IF($M$4=2,"Disponible","Available"),'Jrnl Exp ~ Dép'!BS$8)</f>
        <v>Available</v>
      </c>
      <c r="G63" s="1738"/>
      <c r="H63" s="1738"/>
      <c r="I63" s="1738"/>
      <c r="J63" s="280">
        <f>+'Jrnl Exp ~ Dép'!BS$516</f>
        <v>0</v>
      </c>
      <c r="K63" s="1744"/>
    </row>
    <row r="64" spans="2:13" ht="18" customHeight="1" thickBot="1" x14ac:dyDescent="0.25">
      <c r="B64" s="1747"/>
      <c r="C64" s="1723"/>
      <c r="D64" s="275" t="str">
        <f>RIGHT('Jrnl Exp ~ Dép'!BT$7,3)</f>
        <v>(h)</v>
      </c>
      <c r="E64" s="246">
        <f>+'Jrnl Exp ~ Dép'!BT$6</f>
        <v>5445</v>
      </c>
      <c r="F64" s="1738" t="str">
        <f>IF('Jrnl Exp ~ Dép'!BT$8="Disponible ~ Available",IF($M$4=2,"Disponible","Available"),'Jrnl Exp ~ Dép'!BT$8)</f>
        <v>Available</v>
      </c>
      <c r="G64" s="1738"/>
      <c r="H64" s="1738"/>
      <c r="I64" s="1738"/>
      <c r="J64" s="280">
        <f>+'Jrnl Exp ~ Dép'!BT$516</f>
        <v>0</v>
      </c>
      <c r="K64" s="1744"/>
    </row>
    <row r="65" spans="2:11" ht="18" customHeight="1" thickBot="1" x14ac:dyDescent="0.25">
      <c r="B65" s="1747"/>
      <c r="C65" s="1723"/>
      <c r="D65" s="275" t="str">
        <f>RIGHT('Jrnl Exp ~ Dép'!BU$7,3)</f>
        <v>(i)</v>
      </c>
      <c r="E65" s="246">
        <f>+'Jrnl Exp ~ Dép'!BU$6</f>
        <v>5450</v>
      </c>
      <c r="F65" s="1738" t="str">
        <f>IF('Jrnl Exp ~ Dép'!BU$8="Disponible ~ Available",IF($M$4=2,"Disponible","Available"),'Jrnl Exp ~ Dép'!BU$8)</f>
        <v>Available</v>
      </c>
      <c r="G65" s="1738"/>
      <c r="H65" s="1738"/>
      <c r="I65" s="1738"/>
      <c r="J65" s="280">
        <f>+'Jrnl Exp ~ Dép'!BU$516</f>
        <v>0</v>
      </c>
      <c r="K65" s="1744"/>
    </row>
    <row r="66" spans="2:11" ht="18" customHeight="1" thickBot="1" x14ac:dyDescent="0.25">
      <c r="B66" s="1747"/>
      <c r="C66" s="1723"/>
      <c r="D66" s="276" t="str">
        <f>RIGHT('Jrnl Exp ~ Dép'!BV$7,3)</f>
        <v>(j)</v>
      </c>
      <c r="E66" s="246">
        <f>+'Jrnl Exp ~ Dép'!BV$6</f>
        <v>5455</v>
      </c>
      <c r="F66" s="1738" t="str">
        <f>IF('Jrnl Exp ~ Dép'!BV$8="Disponible ~ Available",IF($M$4=2,"Disponible","Available"),'Jrnl Exp ~ Dép'!BV$8)</f>
        <v>Available</v>
      </c>
      <c r="G66" s="1738"/>
      <c r="H66" s="1738"/>
      <c r="I66" s="1738"/>
      <c r="J66" s="280">
        <f>+'Jrnl Exp ~ Dép'!BV$516</f>
        <v>0</v>
      </c>
      <c r="K66" s="1745"/>
    </row>
    <row r="67" spans="2:11" ht="18" customHeight="1" x14ac:dyDescent="0.2">
      <c r="B67" s="1748"/>
      <c r="C67" s="281"/>
      <c r="D67" s="282"/>
      <c r="E67" s="257">
        <v>5499</v>
      </c>
      <c r="F67" s="1749" t="str">
        <f>CONCATENATE('Jrnl Exp ~ Dép'!BM5," - ","Total:")</f>
        <v>DND Supported Optional Trg/Activities Expenses - Total:</v>
      </c>
      <c r="G67" s="1749"/>
      <c r="H67" s="1749"/>
      <c r="I67" s="1749"/>
      <c r="J67" s="1749"/>
      <c r="K67" s="279">
        <f>SUM(J57:J66)</f>
        <v>0</v>
      </c>
    </row>
    <row r="68" spans="2:11" ht="18" customHeight="1" x14ac:dyDescent="0.2">
      <c r="B68" s="216"/>
      <c r="C68" s="216"/>
      <c r="D68" s="18"/>
      <c r="E68" s="14"/>
      <c r="F68" s="490"/>
      <c r="G68" s="490"/>
      <c r="H68" s="490"/>
      <c r="I68" s="490"/>
      <c r="J68" s="490"/>
      <c r="K68" s="491"/>
    </row>
    <row r="69" spans="2:11" ht="16.5" customHeight="1" x14ac:dyDescent="0.2">
      <c r="B69" s="274"/>
      <c r="C69" s="1722" t="str">
        <f>CONCATENATE('Jrnl Exp ~ Dép'!BW4," - ",'Jrnl Exp ~ Dép'!BW5)</f>
        <v>5500 - DND Non-Supported Trg/Activities Expenses</v>
      </c>
      <c r="D69" s="1722"/>
      <c r="E69" s="1722"/>
      <c r="F69" s="1722"/>
      <c r="G69" s="1722"/>
      <c r="H69" s="1722"/>
      <c r="I69" s="1722"/>
      <c r="J69" s="1722"/>
      <c r="K69" s="1722"/>
    </row>
    <row r="70" spans="2:11" ht="16.5" customHeight="1" thickBot="1" x14ac:dyDescent="0.25">
      <c r="B70" s="1740"/>
      <c r="C70" s="1723" t="str">
        <f>LEFT('Jrnl Exp ~ Dép'!BW7,1)</f>
        <v>5</v>
      </c>
      <c r="D70" s="275" t="str">
        <f>RIGHT('Jrnl Exp ~ Dép'!BW$7,3)</f>
        <v>(a)</v>
      </c>
      <c r="E70" s="246">
        <f>+'Jrnl Exp ~ Dép'!BW$6</f>
        <v>5510</v>
      </c>
      <c r="F70" s="1738" t="str">
        <f>'Jrnl Exp ~ Dép'!BW$8</f>
        <v>Cadet Banquets and Special Events</v>
      </c>
      <c r="G70" s="1738"/>
      <c r="H70" s="1738"/>
      <c r="I70" s="1738"/>
      <c r="J70" s="264">
        <f>+'Jrnl Exp ~ Dép'!BW$516</f>
        <v>0</v>
      </c>
      <c r="K70" s="1742"/>
    </row>
    <row r="71" spans="2:11" ht="16.5" customHeight="1" thickBot="1" x14ac:dyDescent="0.25">
      <c r="B71" s="1740"/>
      <c r="C71" s="1723"/>
      <c r="D71" s="275" t="str">
        <f>RIGHT('Jrnl Exp ~ Dép'!CE$7,3)</f>
        <v>(b)</v>
      </c>
      <c r="E71" s="246">
        <f>+'Jrnl Exp ~ Dép'!CE$6</f>
        <v>5515</v>
      </c>
      <c r="F71" s="1738" t="str">
        <f>'Jrnl Exp ~ Dép'!CE$8</f>
        <v>Annual Ceremonial Review</v>
      </c>
      <c r="G71" s="1738"/>
      <c r="H71" s="1738"/>
      <c r="I71" s="1738"/>
      <c r="J71" s="264">
        <f>+'Jrnl Exp ~ Dép'!CE$516</f>
        <v>0</v>
      </c>
      <c r="K71" s="1742"/>
    </row>
    <row r="72" spans="2:11" ht="16.5" customHeight="1" thickBot="1" x14ac:dyDescent="0.25">
      <c r="B72" s="1740"/>
      <c r="C72" s="1723"/>
      <c r="D72" s="275" t="str">
        <f>RIGHT('Jrnl Exp ~ Dép'!CF$7,3)</f>
        <v>(c)</v>
      </c>
      <c r="E72" s="246">
        <f>+'Jrnl Exp ~ Dép'!CF$6</f>
        <v>5520</v>
      </c>
      <c r="F72" s="1738" t="str">
        <f>'Jrnl Exp ~ Dép'!CF$8</f>
        <v>Honours &amp; Award</v>
      </c>
      <c r="G72" s="1738"/>
      <c r="H72" s="1738"/>
      <c r="I72" s="1738"/>
      <c r="J72" s="264">
        <f>+'Jrnl Exp ~ Dép'!CF$516</f>
        <v>0</v>
      </c>
      <c r="K72" s="1742"/>
    </row>
    <row r="73" spans="2:11" ht="16.5" customHeight="1" thickBot="1" x14ac:dyDescent="0.25">
      <c r="B73" s="1740"/>
      <c r="C73" s="1723"/>
      <c r="D73" s="275" t="str">
        <f>RIGHT('Jrnl Exp ~ Dép'!CG$7,3)</f>
        <v>(d)</v>
      </c>
      <c r="E73" s="246">
        <f>+'Jrnl Exp ~ Dép'!CG$6</f>
        <v>5525</v>
      </c>
      <c r="F73" s="1738" t="str">
        <f>'Jrnl Exp ~ Dép'!CG$8</f>
        <v>Cadet &amp; Ceremonial Accoutrements</v>
      </c>
      <c r="G73" s="1738"/>
      <c r="H73" s="1738"/>
      <c r="I73" s="1738"/>
      <c r="J73" s="264">
        <f>+'Jrnl Exp ~ Dép'!CG$516</f>
        <v>0</v>
      </c>
      <c r="K73" s="1742"/>
    </row>
    <row r="74" spans="2:11" ht="16.5" customHeight="1" thickBot="1" x14ac:dyDescent="0.25">
      <c r="B74" s="1740"/>
      <c r="C74" s="1723"/>
      <c r="D74" s="275" t="str">
        <f>RIGHT('Jrnl Exp ~ Dép'!CH$7,3)</f>
        <v>(e)</v>
      </c>
      <c r="E74" s="246">
        <f>+'Jrnl Exp ~ Dép'!CH$6</f>
        <v>5530</v>
      </c>
      <c r="F74" s="1738" t="str">
        <f>'Jrnl Exp ~ Dép'!CH$8</f>
        <v>Scholarship &amp; Bursaries</v>
      </c>
      <c r="G74" s="1738"/>
      <c r="H74" s="1738"/>
      <c r="I74" s="1738"/>
      <c r="J74" s="264">
        <f>+'Jrnl Exp ~ Dép'!CH$516</f>
        <v>0</v>
      </c>
      <c r="K74" s="1742"/>
    </row>
    <row r="75" spans="2:11" ht="16.5" customHeight="1" thickBot="1" x14ac:dyDescent="0.25">
      <c r="B75" s="1740"/>
      <c r="C75" s="1723"/>
      <c r="D75" s="275" t="str">
        <f>RIGHT('Jrnl Exp ~ Dép'!CI$7,3)</f>
        <v>(f)</v>
      </c>
      <c r="E75" s="246">
        <f>+'Jrnl Exp ~ Dép'!CI$6</f>
        <v>5535</v>
      </c>
      <c r="F75" s="1738" t="str">
        <f>IF('Jrnl Exp ~ Dép'!CI$8="Disponible ~ Available",IF($M$4=2,"Disponible","Available"),'Jrnl Exp ~ Dép'!CI$8)</f>
        <v>Available</v>
      </c>
      <c r="G75" s="1738"/>
      <c r="H75" s="1738"/>
      <c r="I75" s="1738"/>
      <c r="J75" s="264">
        <f>+'Jrnl Exp ~ Dép'!CI$516</f>
        <v>0</v>
      </c>
      <c r="K75" s="1742"/>
    </row>
    <row r="76" spans="2:11" ht="16.5" customHeight="1" thickBot="1" x14ac:dyDescent="0.25">
      <c r="B76" s="1740"/>
      <c r="C76" s="1723"/>
      <c r="D76" s="241" t="str">
        <f>RIGHT('Jrnl Exp ~ Dép'!CJ$7,4)</f>
        <v xml:space="preserve"> (g)</v>
      </c>
      <c r="E76" s="246">
        <f>+'Jrnl Exp ~ Dép'!CJ$6</f>
        <v>5540</v>
      </c>
      <c r="F76" s="1738" t="str">
        <f>IF('Jrnl Exp ~ Dép'!CJ$8="Disponible ~ Available",IF($M$4=2,"Disponible","Available"),'Jrnl Exp ~ Dép'!CJ$8)</f>
        <v>Available</v>
      </c>
      <c r="G76" s="1741"/>
      <c r="H76" s="1741"/>
      <c r="I76" s="1726"/>
      <c r="J76" s="264">
        <f>+'Jrnl Exp ~ Dép'!CJ$516</f>
        <v>0</v>
      </c>
      <c r="K76" s="1742"/>
    </row>
    <row r="77" spans="2:11" ht="16.5" customHeight="1" thickBot="1" x14ac:dyDescent="0.25">
      <c r="B77" s="1740"/>
      <c r="C77" s="1723"/>
      <c r="D77" s="241" t="str">
        <f>RIGHT('Jrnl Exp ~ Dép'!CK$7,4)</f>
        <v xml:space="preserve"> (h)</v>
      </c>
      <c r="E77" s="246">
        <f>+'Jrnl Exp ~ Dép'!CK$6</f>
        <v>5545</v>
      </c>
      <c r="F77" s="1738" t="str">
        <f>IF('Jrnl Exp ~ Dép'!CK$8="Disponible ~ Available",IF($M$4=2,"Disponible","Available"),'Jrnl Exp ~ Dép'!CK$8)</f>
        <v>Available</v>
      </c>
      <c r="G77" s="1738"/>
      <c r="H77" s="1738"/>
      <c r="I77" s="1738"/>
      <c r="J77" s="264">
        <f>+'Jrnl Exp ~ Dép'!CK$516</f>
        <v>0</v>
      </c>
      <c r="K77" s="1742"/>
    </row>
    <row r="78" spans="2:11" ht="16.5" customHeight="1" thickBot="1" x14ac:dyDescent="0.25">
      <c r="B78" s="1740"/>
      <c r="C78" s="1723"/>
      <c r="D78" s="241" t="str">
        <f>RIGHT('Jrnl Exp ~ Dép'!CL$7,4)</f>
        <v xml:space="preserve"> (i)</v>
      </c>
      <c r="E78" s="246">
        <f>+'Jrnl Exp ~ Dép'!CL$6</f>
        <v>5550</v>
      </c>
      <c r="F78" s="1738" t="str">
        <f>IF('Jrnl Exp ~ Dép'!CL$8="Disponible ~ Available",IF($M$4=2,"Disponible","Available"),'Jrnl Exp ~ Dép'!CL$8)</f>
        <v>Available</v>
      </c>
      <c r="G78" s="1738"/>
      <c r="H78" s="1738"/>
      <c r="I78" s="1738"/>
      <c r="J78" s="264">
        <f>+'Jrnl Exp ~ Dép'!CL$516</f>
        <v>0</v>
      </c>
      <c r="K78" s="1742"/>
    </row>
    <row r="79" spans="2:11" ht="16.5" customHeight="1" x14ac:dyDescent="0.2">
      <c r="B79" s="195"/>
      <c r="C79" s="196"/>
      <c r="D79" s="284"/>
      <c r="E79" s="285">
        <v>5599</v>
      </c>
      <c r="F79" s="1739" t="str">
        <f>CONCATENATE('Jrnl Exp ~ Dép'!BW5," - ","Total:")</f>
        <v>DND Non-Supported Trg/Activities Expenses - Total:</v>
      </c>
      <c r="G79" s="1739"/>
      <c r="H79" s="1739"/>
      <c r="I79" s="1739"/>
      <c r="J79" s="1739"/>
      <c r="K79" s="286">
        <f>SUM(J70:J78)</f>
        <v>0</v>
      </c>
    </row>
    <row r="80" spans="2:11" ht="18" customHeight="1" x14ac:dyDescent="0.2">
      <c r="B80" s="216"/>
      <c r="C80" s="216"/>
      <c r="D80" s="18"/>
      <c r="E80" s="14"/>
      <c r="F80" s="490"/>
      <c r="G80" s="490"/>
      <c r="H80" s="490"/>
      <c r="I80" s="490"/>
      <c r="J80" s="490"/>
      <c r="K80" s="491"/>
    </row>
    <row r="81" spans="2:11" ht="16.5" customHeight="1" x14ac:dyDescent="0.2">
      <c r="B81" s="274"/>
      <c r="C81" s="1722" t="str">
        <f>CONCATENATE('Jrnl Exp ~ Dép'!CM4," - ",'Jrnl Exp ~ Dép'!CM5)</f>
        <v>5600 - Expenses - Gaming &amp; Lotteries Fundraising</v>
      </c>
      <c r="D81" s="1722"/>
      <c r="E81" s="1722"/>
      <c r="F81" s="1722"/>
      <c r="G81" s="1722"/>
      <c r="H81" s="1722"/>
      <c r="I81" s="1722"/>
      <c r="J81" s="1722"/>
      <c r="K81" s="1722"/>
    </row>
    <row r="82" spans="2:11" ht="16.5" customHeight="1" thickBot="1" x14ac:dyDescent="0.25">
      <c r="B82" s="1740"/>
      <c r="C82" s="1723" t="str">
        <f>LEFT('Jrnl Exp ~ Dép'!CM7,1)</f>
        <v>6</v>
      </c>
      <c r="D82" s="275" t="str">
        <f>RIGHT('Jrnl Exp ~ Dép'!CM$7,3)</f>
        <v>(a)</v>
      </c>
      <c r="E82" s="246">
        <f>+'Jrnl Exp ~ Dép'!CM$6</f>
        <v>5610</v>
      </c>
      <c r="F82" s="1738" t="str">
        <f>IF('Jrnl Exp ~ Dép'!CM$8="Disponible ~ Available",IF($M$4=2,"Disponible","Available"),'Jrnl Exp ~ Dép'!CM$8)</f>
        <v>SQN
Lottery/Raffles
Expenses</v>
      </c>
      <c r="G82" s="1741"/>
      <c r="H82" s="1741"/>
      <c r="I82" s="1726"/>
      <c r="J82" s="264">
        <f>+'Jrnl Exp ~ Dép'!CM$516</f>
        <v>0</v>
      </c>
      <c r="K82" s="1742"/>
    </row>
    <row r="83" spans="2:11" ht="16.5" customHeight="1" thickBot="1" x14ac:dyDescent="0.25">
      <c r="B83" s="1740"/>
      <c r="C83" s="1723"/>
      <c r="D83" s="275" t="str">
        <f>RIGHT('Jrnl Exp ~ Dép'!CN$7,3)</f>
        <v>(b)</v>
      </c>
      <c r="E83" s="246">
        <f>+'Jrnl Exp ~ Dép'!CN$6</f>
        <v>5620</v>
      </c>
      <c r="F83" s="1738" t="str">
        <f>IF('Jrnl Exp ~ Dép'!CN$8="Disponible ~ Available",IF($M$4=2,"Disponible","Available"),'Jrnl Exp ~ Dép'!CN$8)</f>
        <v>Available</v>
      </c>
      <c r="G83" s="1741"/>
      <c r="H83" s="1741"/>
      <c r="I83" s="1726"/>
      <c r="J83" s="264">
        <f>+'Jrnl Exp ~ Dép'!CN$516</f>
        <v>0</v>
      </c>
      <c r="K83" s="1742"/>
    </row>
    <row r="84" spans="2:11" ht="16.5" customHeight="1" thickBot="1" x14ac:dyDescent="0.25">
      <c r="B84" s="1740"/>
      <c r="C84" s="1723"/>
      <c r="D84" s="275" t="str">
        <f>RIGHT('Jrnl Exp ~ Dép'!CO$7,3)</f>
        <v>(c)</v>
      </c>
      <c r="E84" s="246">
        <f>+'Jrnl Exp ~ Dép'!CO$6</f>
        <v>5630</v>
      </c>
      <c r="F84" s="1738" t="str">
        <f>IF('Jrnl Exp ~ Dép'!CO$8="Disponible ~ Available",IF($M$4=2,"Disponible","Available"),'Jrnl Exp ~ Dép'!CO$8)</f>
        <v>Available</v>
      </c>
      <c r="G84" s="1741"/>
      <c r="H84" s="1741"/>
      <c r="I84" s="1726"/>
      <c r="J84" s="264">
        <f>+'Jrnl Exp ~ Dép'!CO$516</f>
        <v>0</v>
      </c>
      <c r="K84" s="1742"/>
    </row>
    <row r="85" spans="2:11" ht="16.5" customHeight="1" thickBot="1" x14ac:dyDescent="0.25">
      <c r="B85" s="1740"/>
      <c r="C85" s="1723"/>
      <c r="D85" s="275" t="str">
        <f>RIGHT('Jrnl Exp ~ Dép'!CP$7,3)</f>
        <v>(d)</v>
      </c>
      <c r="E85" s="246">
        <f>+'Jrnl Exp ~ Dép'!CP$6</f>
        <v>5640</v>
      </c>
      <c r="F85" s="1738" t="str">
        <f>IF('Jrnl Exp ~ Dép'!CP$8="Disponible ~ Available",IF($M$4=2,"Disponible","Available"),'Jrnl Exp ~ Dép'!CP$8)</f>
        <v>Available</v>
      </c>
      <c r="G85" s="1741"/>
      <c r="H85" s="1741"/>
      <c r="I85" s="1726"/>
      <c r="J85" s="264">
        <f>+'Jrnl Exp ~ Dép'!CP$516</f>
        <v>0</v>
      </c>
      <c r="K85" s="1742"/>
    </row>
    <row r="86" spans="2:11" ht="16.5" customHeight="1" thickBot="1" x14ac:dyDescent="0.25">
      <c r="B86" s="1740"/>
      <c r="C86" s="1723"/>
      <c r="D86" s="275" t="str">
        <f>RIGHT('Jrnl Exp ~ Dép'!CQ$7,3)</f>
        <v>(e)</v>
      </c>
      <c r="E86" s="246">
        <f>+'Jrnl Exp ~ Dép'!CQ$6</f>
        <v>5650</v>
      </c>
      <c r="F86" s="1738" t="str">
        <f>IF('Jrnl Exp ~ Dép'!CQ$8="Disponible ~ Available",IF($M$4=2,"Disponible","Available"),'Jrnl Exp ~ Dép'!CQ$8)</f>
        <v>Available</v>
      </c>
      <c r="G86" s="1741"/>
      <c r="H86" s="1741"/>
      <c r="I86" s="1726"/>
      <c r="J86" s="264">
        <f>+'Jrnl Exp ~ Dép'!CQ$516</f>
        <v>0</v>
      </c>
      <c r="K86" s="1742"/>
    </row>
    <row r="87" spans="2:11" ht="16.5" customHeight="1" thickBot="1" x14ac:dyDescent="0.25">
      <c r="B87" s="1740"/>
      <c r="C87" s="1723"/>
      <c r="D87" s="275" t="str">
        <f>RIGHT('Jrnl Exp ~ Dép'!CR$7,3)</f>
        <v>(f)</v>
      </c>
      <c r="E87" s="246">
        <f>+'Jrnl Exp ~ Dép'!CR$6</f>
        <v>5660</v>
      </c>
      <c r="F87" s="1738" t="str">
        <f>IF('Jrnl Exp ~ Dép'!CR$8="Disponible ~ Available",IF($M$4=2,"Disponible","Available"),'Jrnl Exp ~ Dép'!CR$8)</f>
        <v>Available</v>
      </c>
      <c r="G87" s="1741"/>
      <c r="H87" s="1741"/>
      <c r="I87" s="1726"/>
      <c r="J87" s="264">
        <f>+'Jrnl Exp ~ Dép'!CR$516</f>
        <v>0</v>
      </c>
      <c r="K87" s="1742"/>
    </row>
    <row r="88" spans="2:11" ht="16.5" customHeight="1" thickBot="1" x14ac:dyDescent="0.25">
      <c r="B88" s="1740"/>
      <c r="C88" s="1723"/>
      <c r="D88" s="241" t="str">
        <f>RIGHT('Jrnl Exp ~ Dép'!CS$7,4)</f>
        <v xml:space="preserve"> (g)</v>
      </c>
      <c r="E88" s="246">
        <f>+'Jrnl Exp ~ Dép'!CS$6</f>
        <v>5670</v>
      </c>
      <c r="F88" s="1738" t="str">
        <f>IF('Jrnl Exp ~ Dép'!CS$8="Disponible ~ Available",IF($M$4=2,"Disponible","Available"),'Jrnl Exp ~ Dép'!CS$8)</f>
        <v>Available</v>
      </c>
      <c r="G88" s="1741"/>
      <c r="H88" s="1741"/>
      <c r="I88" s="1726"/>
      <c r="J88" s="264">
        <f>+'Jrnl Exp ~ Dép'!CS$516</f>
        <v>0</v>
      </c>
      <c r="K88" s="1742"/>
    </row>
    <row r="89" spans="2:11" ht="16.5" customHeight="1" thickBot="1" x14ac:dyDescent="0.25">
      <c r="B89" s="1740"/>
      <c r="C89" s="1723"/>
      <c r="D89" s="241" t="str">
        <f>RIGHT('Jrnl Exp ~ Dép'!CT$7,4)</f>
        <v xml:space="preserve"> (h)</v>
      </c>
      <c r="E89" s="246">
        <f>+'Jrnl Exp ~ Dép'!CT$6</f>
        <v>5680</v>
      </c>
      <c r="F89" s="1738" t="str">
        <f>IF('Jrnl Exp ~ Dép'!CT$8="Disponible ~ Available",IF($M$4=2,"Disponible","Available"),'Jrnl Exp ~ Dép'!CT$8)</f>
        <v>Available</v>
      </c>
      <c r="G89" s="1741"/>
      <c r="H89" s="1741"/>
      <c r="I89" s="1726"/>
      <c r="J89" s="264">
        <f>+'Jrnl Exp ~ Dép'!CT$516</f>
        <v>0</v>
      </c>
      <c r="K89" s="1742"/>
    </row>
    <row r="90" spans="2:11" ht="16.5" customHeight="1" thickBot="1" x14ac:dyDescent="0.25">
      <c r="B90" s="1740"/>
      <c r="C90" s="1723"/>
      <c r="D90" s="241" t="str">
        <f>RIGHT('Jrnl Exp ~ Dép'!CU$7,4)</f>
        <v xml:space="preserve"> (i)</v>
      </c>
      <c r="E90" s="246">
        <f>+'Jrnl Exp ~ Dép'!CU$6</f>
        <v>5690</v>
      </c>
      <c r="F90" s="1738" t="str">
        <f>IF('Jrnl Exp ~ Dép'!CU$8="Disponible ~ Available",IF($M$4=2,"Disponible","Available"),'Jrnl Exp ~ Dép'!CU$8)</f>
        <v>Available</v>
      </c>
      <c r="G90" s="1741"/>
      <c r="H90" s="1741"/>
      <c r="I90" s="1726"/>
      <c r="J90" s="264">
        <f>+'Jrnl Exp ~ Dép'!CU$516</f>
        <v>0</v>
      </c>
      <c r="K90" s="1742"/>
    </row>
    <row r="91" spans="2:11" ht="16.5" customHeight="1" x14ac:dyDescent="0.2">
      <c r="B91" s="195"/>
      <c r="C91" s="196"/>
      <c r="D91" s="284"/>
      <c r="E91" s="285">
        <v>5699</v>
      </c>
      <c r="F91" s="1739" t="str">
        <f>CONCATENATE('Jrnl Exp ~ Dép'!CM5," - ","Total:")</f>
        <v>Expenses - Gaming &amp; Lotteries Fundraising - Total:</v>
      </c>
      <c r="G91" s="1739"/>
      <c r="H91" s="1739"/>
      <c r="I91" s="1739"/>
      <c r="J91" s="1739"/>
      <c r="K91" s="286">
        <f>SUM(J82:J90)</f>
        <v>0</v>
      </c>
    </row>
    <row r="92" spans="2:11" ht="16.5" customHeight="1" x14ac:dyDescent="0.2">
      <c r="K92" s="283" t="s">
        <v>461</v>
      </c>
    </row>
    <row r="93" spans="2:11" ht="16.5" customHeight="1" x14ac:dyDescent="0.2">
      <c r="B93" s="274"/>
      <c r="C93" s="1722" t="str">
        <f>CONCATENATE('Jrnl Exp ~ Dép'!CV4," - ",'Jrnl Exp ~ Dép'!CV5)</f>
        <v>5700 - Expenses - Other Fundraising</v>
      </c>
      <c r="D93" s="1722"/>
      <c r="E93" s="1722"/>
      <c r="F93" s="1722"/>
      <c r="G93" s="1722"/>
      <c r="H93" s="1722"/>
      <c r="I93" s="1722"/>
      <c r="J93" s="1722"/>
      <c r="K93" s="1722"/>
    </row>
    <row r="94" spans="2:11" ht="16.5" customHeight="1" thickBot="1" x14ac:dyDescent="0.25">
      <c r="B94" s="1740"/>
      <c r="C94" s="1723" t="str">
        <f>LEFT('Jrnl Exp ~ Dép'!CV7,1)</f>
        <v>7</v>
      </c>
      <c r="D94" s="275" t="str">
        <f>RIGHT('Jrnl Exp ~ Dép'!CV$7,3)</f>
        <v>(a)</v>
      </c>
      <c r="E94" s="246">
        <f>+'Jrnl Exp ~ Dép'!CV$6</f>
        <v>5710</v>
      </c>
      <c r="F94" s="1738" t="str">
        <f>IF('Jrnl Exp ~ Dép'!CV$8="Disponible ~ Available",IF($M$4=2,"Disponible","Available"),'Jrnl Exp ~ Dép'!CV$8)</f>
        <v>Tagging
Expenses
Fall</v>
      </c>
      <c r="G94" s="1741"/>
      <c r="H94" s="1741"/>
      <c r="I94" s="1726"/>
      <c r="J94" s="264">
        <f>+'Jrnl Exp ~ Dép'!CV$516</f>
        <v>0</v>
      </c>
      <c r="K94" s="1742"/>
    </row>
    <row r="95" spans="2:11" ht="16.5" customHeight="1" thickBot="1" x14ac:dyDescent="0.25">
      <c r="B95" s="1740"/>
      <c r="C95" s="1723"/>
      <c r="D95" s="275" t="str">
        <f>RIGHT('Jrnl Exp ~ Dép'!CW$7,3)</f>
        <v>(b)</v>
      </c>
      <c r="E95" s="246">
        <f>+'Jrnl Exp ~ Dép'!CW$6</f>
        <v>5720</v>
      </c>
      <c r="F95" s="1738" t="str">
        <f>IF('Jrnl Exp ~ Dép'!CW$8="Disponible ~ Available",IF($M$4=2,"Disponible","Available"),'Jrnl Exp ~ Dép'!CW$8)</f>
        <v>Tagging
Expenses
Spring</v>
      </c>
      <c r="G95" s="1741"/>
      <c r="H95" s="1741"/>
      <c r="I95" s="1726"/>
      <c r="J95" s="264">
        <f>+'Jrnl Exp ~ Dép'!CW$516</f>
        <v>0</v>
      </c>
      <c r="K95" s="1742"/>
    </row>
    <row r="96" spans="2:11" ht="16.5" customHeight="1" thickBot="1" x14ac:dyDescent="0.25">
      <c r="B96" s="1740"/>
      <c r="C96" s="1723"/>
      <c r="D96" s="275" t="str">
        <f>RIGHT('Jrnl Exp ~ Dép'!CX$7,3)</f>
        <v>(c)</v>
      </c>
      <c r="E96" s="246">
        <f>+'Jrnl Exp ~ Dép'!CX$6</f>
        <v>5730</v>
      </c>
      <c r="F96" s="1738" t="str">
        <f>IF('Jrnl Exp ~ Dép'!CX$8="Disponible ~ Available",IF($M$4=2,"Disponible","Available"),'Jrnl Exp ~ Dép'!CX$8)</f>
        <v>Bottle Drive
Expenses</v>
      </c>
      <c r="G96" s="1741"/>
      <c r="H96" s="1741"/>
      <c r="I96" s="1726"/>
      <c r="J96" s="264">
        <f>+'Jrnl Exp ~ Dép'!CX$516</f>
        <v>0</v>
      </c>
      <c r="K96" s="1742"/>
    </row>
    <row r="97" spans="2:12" ht="16.5" customHeight="1" thickBot="1" x14ac:dyDescent="0.25">
      <c r="B97" s="1740"/>
      <c r="C97" s="1723"/>
      <c r="D97" s="275" t="str">
        <f>RIGHT('Jrnl Exp ~ Dép'!CY7,3)</f>
        <v>(d)</v>
      </c>
      <c r="E97" s="246">
        <f>+'Jrnl Exp ~ Dép'!CY$6</f>
        <v>5740</v>
      </c>
      <c r="F97" s="1738" t="str">
        <f>IF('Jrnl Exp ~ Dép'!CY$8="Disponible ~ Available",IF($M$4=2,"Disponible","Available"),'Jrnl Exp ~ Dép'!CY$8)</f>
        <v>Available</v>
      </c>
      <c r="G97" s="1741"/>
      <c r="H97" s="1741"/>
      <c r="I97" s="1726"/>
      <c r="J97" s="264">
        <f>+'Jrnl Exp ~ Dép'!CY$516</f>
        <v>0</v>
      </c>
      <c r="K97" s="1742"/>
    </row>
    <row r="98" spans="2:12" ht="16.5" customHeight="1" thickBot="1" x14ac:dyDescent="0.25">
      <c r="B98" s="1740"/>
      <c r="C98" s="1723"/>
      <c r="D98" s="275" t="str">
        <f>RIGHT('Jrnl Exp ~ Dép'!CZ$7,3)</f>
        <v>(e)</v>
      </c>
      <c r="E98" s="246">
        <f>+'Jrnl Exp ~ Dép'!CZ$6</f>
        <v>5750</v>
      </c>
      <c r="F98" s="1738" t="str">
        <f>IF('Jrnl Exp ~ Dép'!CZ$8="Disponible ~ Available",IF($M$4=2,"Disponible","Available"),'Jrnl Exp ~ Dép'!CZ$8)</f>
        <v>Available</v>
      </c>
      <c r="G98" s="1741"/>
      <c r="H98" s="1741"/>
      <c r="I98" s="1726"/>
      <c r="J98" s="264">
        <f>+'Jrnl Exp ~ Dép'!CZ$516</f>
        <v>0</v>
      </c>
      <c r="K98" s="1742"/>
    </row>
    <row r="99" spans="2:12" ht="16.5" customHeight="1" thickBot="1" x14ac:dyDescent="0.25">
      <c r="B99" s="1740"/>
      <c r="C99" s="1723"/>
      <c r="D99" s="275" t="str">
        <f>RIGHT('Jrnl Exp ~ Dép'!DA$7,3)</f>
        <v>(f)</v>
      </c>
      <c r="E99" s="246">
        <f>+'Jrnl Exp ~ Dép'!DA$6</f>
        <v>5760</v>
      </c>
      <c r="F99" s="1738" t="str">
        <f>IF('Jrnl Exp ~ Dép'!DA$8="Disponible ~ Available",IF($M$4=2,"Disponible","Available"),'Jrnl Exp ~ Dép'!DA$8)</f>
        <v>Available</v>
      </c>
      <c r="G99" s="1741"/>
      <c r="H99" s="1741"/>
      <c r="I99" s="1726"/>
      <c r="J99" s="264">
        <f>+'Jrnl Exp ~ Dép'!DA$516</f>
        <v>0</v>
      </c>
      <c r="K99" s="1742"/>
    </row>
    <row r="100" spans="2:12" ht="16.5" customHeight="1" thickBot="1" x14ac:dyDescent="0.25">
      <c r="B100" s="1740"/>
      <c r="C100" s="1723"/>
      <c r="D100" s="241" t="str">
        <f>RIGHT('Jrnl Exp ~ Dép'!DB$7,4)</f>
        <v xml:space="preserve"> (g)</v>
      </c>
      <c r="E100" s="246">
        <f>+'Jrnl Exp ~ Dép'!DB$6</f>
        <v>5770</v>
      </c>
      <c r="F100" s="1738" t="str">
        <f>IF('Jrnl Exp ~ Dép'!DB$8="Disponible ~ Available",IF($M$4=2,"Disponible","Available"),'Jrnl Exp ~ Dép'!DB$8)</f>
        <v>Available</v>
      </c>
      <c r="G100" s="1741"/>
      <c r="H100" s="1741"/>
      <c r="I100" s="1726"/>
      <c r="J100" s="264">
        <f>+'Jrnl Exp ~ Dép'!DB$516</f>
        <v>0</v>
      </c>
      <c r="K100" s="1742"/>
    </row>
    <row r="101" spans="2:12" ht="16.5" customHeight="1" thickBot="1" x14ac:dyDescent="0.25">
      <c r="B101" s="1740"/>
      <c r="C101" s="1723"/>
      <c r="D101" s="241" t="str">
        <f>RIGHT('Jrnl Exp ~ Dép'!DC$7,4)</f>
        <v xml:space="preserve"> (h)</v>
      </c>
      <c r="E101" s="246">
        <f>+'Jrnl Exp ~ Dép'!DC$6</f>
        <v>5780</v>
      </c>
      <c r="F101" s="1738" t="str">
        <f>IF('Jrnl Exp ~ Dép'!DC$8="Disponible ~ Available",IF($M$4=2,"Disponible","Available"),'Jrnl Exp ~ Dép'!DC$8)</f>
        <v>Available</v>
      </c>
      <c r="G101" s="1741"/>
      <c r="H101" s="1741"/>
      <c r="I101" s="1726"/>
      <c r="J101" s="264">
        <f>+'Jrnl Exp ~ Dép'!DC$516</f>
        <v>0</v>
      </c>
      <c r="K101" s="1742"/>
    </row>
    <row r="102" spans="2:12" ht="16.5" customHeight="1" thickBot="1" x14ac:dyDescent="0.25">
      <c r="B102" s="1740"/>
      <c r="C102" s="1723"/>
      <c r="D102" s="276" t="str">
        <f>RIGHT('Jrnl Exp ~ Dép'!DD$7,4)</f>
        <v xml:space="preserve"> (i)</v>
      </c>
      <c r="E102" s="246">
        <f>+'Jrnl Exp ~ Dép'!DD$6</f>
        <v>5790</v>
      </c>
      <c r="F102" s="1738" t="str">
        <f>IF('Jrnl Exp ~ Dép'!DD$8="Disponible ~ Available",IF($M$4=2,"Disponible","Available"),'Jrnl Exp ~ Dép'!DD$8)</f>
        <v>Available</v>
      </c>
      <c r="G102" s="1741"/>
      <c r="H102" s="1741"/>
      <c r="I102" s="1726"/>
      <c r="J102" s="264">
        <f>+'Jrnl Exp ~ Dép'!DD$516</f>
        <v>0</v>
      </c>
      <c r="K102" s="1742"/>
    </row>
    <row r="103" spans="2:12" ht="16.5" customHeight="1" x14ac:dyDescent="0.2">
      <c r="B103" s="195"/>
      <c r="C103" s="196"/>
      <c r="D103" s="284"/>
      <c r="E103" s="285">
        <v>5799</v>
      </c>
      <c r="F103" s="1739" t="str">
        <f>CONCATENATE('Jrnl Exp ~ Dép'!CV5," - ","Total:")</f>
        <v>Expenses - Other Fundraising - Total:</v>
      </c>
      <c r="G103" s="1739"/>
      <c r="H103" s="1739"/>
      <c r="I103" s="1739"/>
      <c r="J103" s="1739"/>
      <c r="K103" s="286">
        <f>SUM(J94:J102)</f>
        <v>0</v>
      </c>
    </row>
    <row r="104" spans="2:12" ht="12" customHeight="1" x14ac:dyDescent="0.2">
      <c r="B104" s="1735"/>
      <c r="C104" s="1735"/>
      <c r="D104" s="1735"/>
      <c r="E104" s="1735"/>
      <c r="F104" s="1735"/>
      <c r="G104" s="1735"/>
      <c r="H104" s="1735"/>
      <c r="I104" s="1735"/>
      <c r="J104" s="1735"/>
      <c r="K104" s="1735"/>
      <c r="L104" s="1735"/>
    </row>
    <row r="105" spans="2:12" ht="18" customHeight="1" x14ac:dyDescent="0.2">
      <c r="B105" s="274"/>
      <c r="C105" s="1722" t="str">
        <f>CONCATENATE('Jrnl Exp ~ Dép'!DE4," - ",'Jrnl Exp ~ Dép'!DE5)</f>
        <v>5800 - Other Expenses</v>
      </c>
      <c r="D105" s="1722"/>
      <c r="E105" s="1722"/>
      <c r="F105" s="1722"/>
      <c r="G105" s="1722"/>
      <c r="H105" s="1722"/>
      <c r="I105" s="1722"/>
      <c r="J105" s="1722"/>
      <c r="K105" s="1722"/>
    </row>
    <row r="106" spans="2:12" ht="18" customHeight="1" x14ac:dyDescent="0.2">
      <c r="B106" s="1740"/>
      <c r="C106" s="1723" t="str">
        <f>LEFT('Jrnl Exp ~ Dép'!DE7,1)</f>
        <v>8</v>
      </c>
      <c r="D106" s="275" t="str">
        <f>RIGHT('Jrnl Exp ~ Dép'!DE$7,3)</f>
        <v>(a)</v>
      </c>
      <c r="E106" s="246">
        <f>+'Jrnl Exp ~ Dép'!DE6</f>
        <v>5810</v>
      </c>
      <c r="F106" s="1726" t="str">
        <f>+'Jrnl Exp ~ Dép'!DE8</f>
        <v>Donations to other Qualified Donnees</v>
      </c>
      <c r="G106" s="1726"/>
      <c r="H106" s="1726"/>
      <c r="I106" s="1726"/>
      <c r="J106" s="287">
        <f>+'Jrnl Exp ~ Dép'!DE516</f>
        <v>0</v>
      </c>
      <c r="K106" s="1729"/>
    </row>
    <row r="107" spans="2:12" ht="18" customHeight="1" x14ac:dyDescent="0.2">
      <c r="B107" s="1740"/>
      <c r="C107" s="1723"/>
      <c r="D107" s="275" t="str">
        <f>RIGHT('Jrnl Exp ~ Dép'!DF$7,3)</f>
        <v>(b)</v>
      </c>
      <c r="E107" s="246">
        <f>+'Jrnl Exp ~ Dép'!DF6</f>
        <v>5820</v>
      </c>
      <c r="F107" s="1726" t="str">
        <f>+'Jrnl Exp ~ Dép'!DF$8</f>
        <v>Bad Debts</v>
      </c>
      <c r="G107" s="1726"/>
      <c r="H107" s="1726"/>
      <c r="I107" s="1726"/>
      <c r="J107" s="287">
        <f>+'Jrnl Exp ~ Dép'!DF516</f>
        <v>0</v>
      </c>
      <c r="K107" s="1729"/>
    </row>
    <row r="108" spans="2:12" ht="18" customHeight="1" thickBot="1" x14ac:dyDescent="0.25">
      <c r="B108" s="1740"/>
      <c r="C108" s="1723"/>
      <c r="D108" s="275" t="str">
        <f>RIGHT('Jrnl Exp ~ Dép'!DG$7,3)</f>
        <v>(c)</v>
      </c>
      <c r="E108" s="246">
        <f>+'Jrnl Exp ~ Dép'!DG6</f>
        <v>5830</v>
      </c>
      <c r="F108" s="1726" t="str">
        <f>+'Jrnl Exp ~ Dép'!DG$8</f>
        <v>Capital Losses</v>
      </c>
      <c r="G108" s="1726"/>
      <c r="H108" s="1726"/>
      <c r="I108" s="1726"/>
      <c r="J108" s="287">
        <f>'Jrnl Exp ~ Dép'!DG516</f>
        <v>0</v>
      </c>
      <c r="K108" s="1729"/>
    </row>
    <row r="109" spans="2:12" ht="18" customHeight="1" thickBot="1" x14ac:dyDescent="0.25">
      <c r="B109" s="1740"/>
      <c r="C109" s="1723"/>
      <c r="D109" s="275" t="str">
        <f>RIGHT('Jrnl Exp ~ Dép'!DH$7,3)</f>
        <v>(d)</v>
      </c>
      <c r="E109" s="246">
        <f>+'Jrnl Exp ~ Dép'!DH6</f>
        <v>5840</v>
      </c>
      <c r="F109" s="1726" t="str">
        <f>+'Jrnl Exp ~ Dép'!DH$8</f>
        <v>Purchase of Sqn Logo Items</v>
      </c>
      <c r="G109" s="1726"/>
      <c r="H109" s="1726"/>
      <c r="I109" s="1726"/>
      <c r="J109" s="287">
        <f>+'Jrnl Exp ~ Dép'!DH516</f>
        <v>0</v>
      </c>
      <c r="K109" s="1729"/>
    </row>
    <row r="110" spans="2:12" ht="18" customHeight="1" thickBot="1" x14ac:dyDescent="0.25">
      <c r="B110" s="1740"/>
      <c r="C110" s="1723"/>
      <c r="D110" s="275" t="str">
        <f>RIGHT('Jrnl Exp ~ Dép'!DI$7,3)</f>
        <v>(e)</v>
      </c>
      <c r="E110" s="246">
        <f>+'Jrnl Exp ~ Dép'!DI6</f>
        <v>5850</v>
      </c>
      <c r="F110" s="1726" t="str">
        <f>+'Jrnl Exp ~ Dép'!DI$8</f>
        <v>Purchase for Canteen</v>
      </c>
      <c r="G110" s="1726"/>
      <c r="H110" s="1726"/>
      <c r="I110" s="1726"/>
      <c r="J110" s="287">
        <f>+'Jrnl Exp ~ Dép'!DI516</f>
        <v>0</v>
      </c>
      <c r="K110" s="1729"/>
    </row>
    <row r="111" spans="2:12" ht="18" customHeight="1" thickBot="1" x14ac:dyDescent="0.25">
      <c r="B111" s="1740"/>
      <c r="C111" s="1723"/>
      <c r="D111" s="275" t="str">
        <f>RIGHT('Jrnl Exp ~ Dép'!DJ$7,3)</f>
        <v>(f)</v>
      </c>
      <c r="E111" s="246">
        <f>+'Jrnl Exp ~ Dép'!DJ6</f>
        <v>5860</v>
      </c>
      <c r="F111" s="1726" t="str">
        <f>+'Jrnl Exp ~ Dép'!DJ$8</f>
        <v>Expenses from previous years</v>
      </c>
      <c r="G111" s="1726"/>
      <c r="H111" s="1726"/>
      <c r="I111" s="1726"/>
      <c r="J111" s="287">
        <f>+'Jrnl Exp ~ Dép'!DJ516</f>
        <v>0</v>
      </c>
      <c r="K111" s="1729"/>
    </row>
    <row r="112" spans="2:12" ht="18" customHeight="1" thickBot="1" x14ac:dyDescent="0.25">
      <c r="B112" s="1740"/>
      <c r="C112" s="1723"/>
      <c r="D112" s="275" t="str">
        <f>RIGHT('Jrnl Exp ~ Dép'!DK$7,3)</f>
        <v>(g)</v>
      </c>
      <c r="E112" s="246">
        <f>+'Jrnl Exp ~ Dép'!DK6</f>
        <v>5870</v>
      </c>
      <c r="F112" s="1738" t="str">
        <f>IF('Jrnl Exp ~ Dép'!DK$8="Disponible ~ Available",IF($M$4=2,"Disponible","Available"),'Jrnl Exp ~ Dép'!DK$8)</f>
        <v>Available</v>
      </c>
      <c r="G112" s="1741"/>
      <c r="H112" s="1741"/>
      <c r="I112" s="1726"/>
      <c r="J112" s="287">
        <f>+'Jrnl Exp ~ Dép'!DK$516</f>
        <v>0</v>
      </c>
      <c r="K112" s="1729"/>
    </row>
    <row r="113" spans="2:15" ht="18" customHeight="1" thickBot="1" x14ac:dyDescent="0.25">
      <c r="B113" s="1740"/>
      <c r="C113" s="1723"/>
      <c r="D113" s="276" t="str">
        <f>RIGHT('Jrnl Exp ~ Dép'!DL$7,3)</f>
        <v>(h)</v>
      </c>
      <c r="E113" s="246">
        <f>+'Jrnl Exp ~ Dép'!DL6</f>
        <v>5880</v>
      </c>
      <c r="F113" s="1726" t="str">
        <f>+'Jrnl Exp ~ Dép'!DL$8</f>
        <v>Other Expenses (Must not be Excessive)</v>
      </c>
      <c r="G113" s="1726"/>
      <c r="H113" s="1726"/>
      <c r="I113" s="1726"/>
      <c r="J113" s="287">
        <f>+'Jrnl Exp ~ Dép'!DL$516</f>
        <v>0</v>
      </c>
      <c r="K113" s="1729"/>
    </row>
    <row r="114" spans="2:15" ht="18" customHeight="1" x14ac:dyDescent="0.2">
      <c r="B114" s="288"/>
      <c r="C114" s="289"/>
      <c r="D114" s="290"/>
      <c r="E114" s="257">
        <v>5899</v>
      </c>
      <c r="F114" s="1749" t="str">
        <f>CONCATENATE('Jrnl Exp ~ Dép'!DE5," - ","Total:")</f>
        <v>Other Expenses - Total:</v>
      </c>
      <c r="G114" s="1749"/>
      <c r="H114" s="1749"/>
      <c r="I114" s="1749"/>
      <c r="J114" s="1749"/>
      <c r="K114" s="258">
        <f>SUM(J106:J113)</f>
        <v>0</v>
      </c>
    </row>
    <row r="115" spans="2:15" ht="12.75" customHeight="1" x14ac:dyDescent="0.2">
      <c r="B115" s="1735"/>
      <c r="C115" s="1735"/>
      <c r="D115" s="1735"/>
      <c r="E115" s="1735"/>
      <c r="F115" s="1735"/>
      <c r="G115" s="1735"/>
      <c r="H115" s="1735"/>
      <c r="I115" s="1735"/>
      <c r="J115" s="1735"/>
      <c r="K115" s="270"/>
    </row>
    <row r="116" spans="2:15" ht="18" customHeight="1" x14ac:dyDescent="0.2">
      <c r="C116" s="18"/>
      <c r="D116" s="11"/>
      <c r="E116" s="291">
        <v>6000</v>
      </c>
      <c r="F116" s="1733" t="str">
        <f>IF(M4=2,"TOTAL des déboursés:","Total Expenses:")</f>
        <v>Total Expenses:</v>
      </c>
      <c r="G116" s="1733"/>
      <c r="H116" s="1733"/>
      <c r="I116" s="1733"/>
      <c r="J116" s="1733"/>
      <c r="K116" s="269">
        <f>+K36+K54+K67+K79+K91+K103+K114</f>
        <v>0</v>
      </c>
    </row>
    <row r="117" spans="2:15" ht="12.75" customHeight="1" x14ac:dyDescent="0.2">
      <c r="K117" s="270"/>
    </row>
    <row r="118" spans="2:15" ht="18" customHeight="1" x14ac:dyDescent="0.2">
      <c r="B118" s="18"/>
      <c r="C118" s="18"/>
      <c r="D118" s="11"/>
      <c r="E118" s="291">
        <f>'ACC9 (Pages 2-3) Rev'!E68</f>
        <v>5000</v>
      </c>
      <c r="F118" s="1764" t="str">
        <f>IF(M4=2,"Total des revenus (Ligne 5000 page 3):","Total Revenues (Line 5000 Page 3):")</f>
        <v>Total Revenues (Line 5000 Page 3):</v>
      </c>
      <c r="G118" s="1764"/>
      <c r="H118" s="1764"/>
      <c r="I118" s="1764"/>
      <c r="J118" s="1764"/>
      <c r="K118" s="269">
        <f>+'ACC9 (Pages 2-3) Rev'!K68</f>
        <v>0</v>
      </c>
    </row>
    <row r="119" spans="2:15" ht="12.75" customHeight="1" x14ac:dyDescent="0.2">
      <c r="B119" s="1735"/>
      <c r="C119" s="1735"/>
      <c r="D119" s="1735"/>
      <c r="E119" s="1735"/>
      <c r="F119" s="1735"/>
      <c r="G119" s="1735"/>
      <c r="H119" s="1735"/>
      <c r="I119" s="1735"/>
      <c r="J119" s="1735"/>
      <c r="K119" s="270"/>
      <c r="N119" s="292"/>
      <c r="O119" s="293"/>
    </row>
    <row r="120" spans="2:15" ht="18" customHeight="1" x14ac:dyDescent="0.2">
      <c r="B120" s="1764" t="str">
        <f>IF(M4=2,"Surplus (Déficit) des recettes sur les déboursés- reporté à la ligne 3110 de la page 8:","Surplus (Deficit) of Revenues over Expenses (Fowarded to line 3110 on page 8):")</f>
        <v>Surplus (Deficit) of Revenues over Expenses (Fowarded to line 3110 on page 8):</v>
      </c>
      <c r="C120" s="1764"/>
      <c r="D120" s="1764"/>
      <c r="E120" s="1764"/>
      <c r="F120" s="1764"/>
      <c r="G120" s="1764"/>
      <c r="H120" s="1764"/>
      <c r="I120" s="1764"/>
      <c r="J120" s="1764"/>
      <c r="K120" s="269">
        <f>+K118-K116</f>
        <v>0</v>
      </c>
    </row>
    <row r="121" spans="2:15" ht="14.1" customHeight="1" x14ac:dyDescent="0.2">
      <c r="B121" s="294"/>
      <c r="C121" s="223"/>
      <c r="D121" s="223"/>
      <c r="H121" s="294"/>
      <c r="K121" s="283" t="s">
        <v>460</v>
      </c>
    </row>
    <row r="122" spans="2:15" ht="14.1" customHeight="1" x14ac:dyDescent="0.2"/>
    <row r="123" spans="2:15" ht="14.1" customHeight="1" x14ac:dyDescent="0.2"/>
    <row r="124" spans="2:15" ht="14.1" customHeight="1" x14ac:dyDescent="0.2"/>
    <row r="125" spans="2:15" ht="14.1" customHeight="1" x14ac:dyDescent="0.2"/>
    <row r="128" spans="2:15" x14ac:dyDescent="0.2">
      <c r="C128" s="218"/>
      <c r="D128" s="218"/>
      <c r="E128" s="218"/>
    </row>
    <row r="130" spans="3:5" x14ac:dyDescent="0.2">
      <c r="C130" s="218"/>
      <c r="D130" s="218"/>
      <c r="E130" s="218"/>
    </row>
    <row r="131" spans="3:5" x14ac:dyDescent="0.2">
      <c r="C131" s="218"/>
      <c r="D131" s="218"/>
      <c r="E131" s="218"/>
    </row>
    <row r="132" spans="3:5" x14ac:dyDescent="0.2">
      <c r="C132" s="218"/>
      <c r="D132" s="218"/>
      <c r="E132" s="218"/>
    </row>
    <row r="133" spans="3:5" x14ac:dyDescent="0.2">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B1:K1"/>
    <mergeCell ref="B2:K2"/>
    <mergeCell ref="B3:K3"/>
    <mergeCell ref="B4:K4"/>
    <mergeCell ref="B5:K5"/>
    <mergeCell ref="B6:K6"/>
    <mergeCell ref="B7:E7"/>
    <mergeCell ref="H7:I7"/>
    <mergeCell ref="C9:K9"/>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MJ263"/>
  <sheetViews>
    <sheetView showGridLines="0" showZeros="0" topLeftCell="A52" zoomScale="85" zoomScaleNormal="85" zoomScalePageLayoutView="115" workbookViewId="0">
      <selection activeCell="L96" sqref="L96:N96"/>
    </sheetView>
  </sheetViews>
  <sheetFormatPr defaultColWidth="11.42578125" defaultRowHeight="12.75" x14ac:dyDescent="0.2"/>
  <cols>
    <col min="1" max="1" width="3.140625" style="1" customWidth="1"/>
    <col min="2" max="2" width="3.28515625" style="218" customWidth="1"/>
    <col min="3" max="3" width="3.7109375" style="1" customWidth="1"/>
    <col min="4" max="4" width="5.28515625" style="1" customWidth="1"/>
    <col min="5" max="5" width="9.5703125" style="1" customWidth="1"/>
    <col min="6" max="6" width="7.7109375" style="1" customWidth="1"/>
    <col min="7" max="7" width="6.7109375" style="1" customWidth="1"/>
    <col min="8" max="8" width="6.85546875" style="1" customWidth="1"/>
    <col min="9" max="9" width="11.28515625" style="1" customWidth="1"/>
    <col min="10" max="10" width="13.28515625" style="1" customWidth="1"/>
    <col min="11" max="11" width="33.28515625" style="1" customWidth="1"/>
    <col min="12" max="13" width="16.7109375" style="1" customWidth="1"/>
    <col min="14" max="14" width="13.28515625" style="1" customWidth="1"/>
    <col min="15" max="15" width="4.140625" style="1" customWidth="1"/>
    <col min="16" max="16" width="4" style="1" customWidth="1"/>
    <col min="17" max="17" width="21.85546875" style="1" customWidth="1"/>
    <col min="18" max="18" width="15.85546875" style="1" customWidth="1"/>
    <col min="19" max="19" width="12.140625" style="1" customWidth="1"/>
    <col min="20" max="20" width="10.28515625" style="1" customWidth="1"/>
    <col min="21" max="21" width="19.7109375" style="1" hidden="1" customWidth="1"/>
    <col min="22" max="22" width="11.28515625" style="1" hidden="1" customWidth="1"/>
    <col min="23" max="23" width="7.28515625" style="1" hidden="1" customWidth="1"/>
    <col min="24" max="24" width="5.28515625" style="1" hidden="1" customWidth="1"/>
    <col min="25" max="35" width="9.140625" style="1" hidden="1" customWidth="1"/>
    <col min="36" max="256" width="9.140625" style="1" customWidth="1"/>
    <col min="257" max="1024" width="11.42578125" style="1"/>
  </cols>
  <sheetData>
    <row r="1" spans="1:24" ht="33.75" customHeight="1" x14ac:dyDescent="0.4">
      <c r="B1" s="1511" t="str">
        <f>IF(P1=2,"Bilan","Balance Sheet")</f>
        <v>Balance Sheet</v>
      </c>
      <c r="C1" s="1511"/>
      <c r="D1" s="1511"/>
      <c r="E1" s="1511"/>
      <c r="F1" s="1511"/>
      <c r="G1" s="1511"/>
      <c r="H1" s="1511"/>
      <c r="I1" s="1511"/>
      <c r="J1" s="1511"/>
      <c r="K1" s="1511"/>
      <c r="L1" s="1511"/>
      <c r="M1" s="1511"/>
      <c r="N1" s="1511"/>
      <c r="P1" s="23">
        <f>'Set up ~ Config'!L10</f>
        <v>1</v>
      </c>
    </row>
    <row r="2" spans="1:24" ht="33.75" customHeight="1" x14ac:dyDescent="0.2">
      <c r="B2" s="1717" t="str">
        <f>'Set up ~ Config'!B2:J2</f>
        <v xml:space="preserve">SSC </v>
      </c>
      <c r="C2" s="1717"/>
      <c r="D2" s="1717"/>
      <c r="E2" s="1717"/>
      <c r="F2" s="1717"/>
      <c r="G2" s="1717"/>
      <c r="H2" s="1717"/>
      <c r="I2" s="1717"/>
      <c r="J2" s="1717"/>
      <c r="K2" s="1717"/>
      <c r="L2" s="1717"/>
      <c r="M2" s="1717"/>
      <c r="N2" s="1717"/>
      <c r="P2" s="23"/>
    </row>
    <row r="3" spans="1:24" ht="20.25" customHeight="1" x14ac:dyDescent="0.2">
      <c r="B3" s="1718" t="str">
        <f>'Cover~Page~Titre'!B58:Y58</f>
        <v>For  Fiscal Year Ending on 2025-08-31</v>
      </c>
      <c r="C3" s="1718"/>
      <c r="D3" s="1718"/>
      <c r="E3" s="1718"/>
      <c r="F3" s="1718"/>
      <c r="G3" s="1718"/>
      <c r="H3" s="1718"/>
      <c r="I3" s="1718"/>
      <c r="J3" s="1718"/>
      <c r="K3" s="1718"/>
      <c r="L3" s="1718"/>
      <c r="M3" s="1718"/>
      <c r="N3" s="1718"/>
    </row>
    <row r="4" spans="1:24" ht="6.75" customHeight="1" x14ac:dyDescent="0.2">
      <c r="B4" s="1485"/>
      <c r="C4" s="1485"/>
      <c r="D4" s="1485"/>
      <c r="E4" s="1485"/>
      <c r="F4" s="1485"/>
      <c r="G4" s="1485"/>
      <c r="H4" s="1765"/>
      <c r="I4" s="1765"/>
      <c r="J4" s="295"/>
      <c r="K4" s="1758"/>
      <c r="L4" s="1758"/>
      <c r="M4" s="1758"/>
      <c r="N4" s="22"/>
    </row>
    <row r="5" spans="1:24" ht="5.25" customHeight="1" x14ac:dyDescent="0.2">
      <c r="B5" s="296"/>
    </row>
    <row r="6" spans="1:24" s="3" customFormat="1" ht="15.75" customHeight="1" x14ac:dyDescent="0.2">
      <c r="B6" s="1766" t="str">
        <f>IF(P1=2,"ACTIFS","ASSETS")</f>
        <v>ASSETS</v>
      </c>
      <c r="C6" s="1766"/>
      <c r="D6" s="1766"/>
      <c r="E6" s="1766"/>
      <c r="F6" s="1766"/>
      <c r="G6" s="1766"/>
      <c r="H6" s="1766"/>
      <c r="I6" s="1766"/>
      <c r="J6" s="1766"/>
      <c r="K6" s="1766"/>
      <c r="L6" s="1766"/>
      <c r="M6" s="1766"/>
      <c r="N6" s="1766"/>
    </row>
    <row r="7" spans="1:24" s="3" customFormat="1" ht="18" customHeight="1" x14ac:dyDescent="0.2">
      <c r="B7" s="297"/>
      <c r="C7" s="1767" t="str">
        <f>IF(P1=2,"1000 - Actifs à court terme:","1000 - Current Assets:")</f>
        <v>1000 - Current Assets:</v>
      </c>
      <c r="D7" s="1767"/>
      <c r="E7" s="1767"/>
      <c r="F7" s="1767"/>
      <c r="G7" s="1767"/>
      <c r="H7" s="1767"/>
      <c r="I7" s="1767"/>
      <c r="J7" s="1767"/>
      <c r="K7" s="1767"/>
      <c r="L7" s="226" t="str">
        <f>IF(P1=2,"L'an passé","Last year")</f>
        <v>Last year</v>
      </c>
      <c r="M7" s="226" t="str">
        <f>IF(P1=2,"Cette année","Current year")</f>
        <v>Current year</v>
      </c>
      <c r="N7" s="298"/>
      <c r="W7" s="20" t="s">
        <v>148</v>
      </c>
    </row>
    <row r="8" spans="1:24" s="12" customFormat="1" ht="16.5" customHeight="1" x14ac:dyDescent="0.2">
      <c r="A8" s="244"/>
      <c r="B8" s="299"/>
      <c r="C8" s="1768">
        <v>1</v>
      </c>
      <c r="D8" s="241" t="s">
        <v>36</v>
      </c>
      <c r="E8" s="246" t="str">
        <f>LEFT('Set up ~ Config'!F45,4)</f>
        <v>1010</v>
      </c>
      <c r="F8" s="1726" t="str">
        <f>'Set up ~ Config'!G45</f>
        <v>Other Cash in hand</v>
      </c>
      <c r="G8" s="1726"/>
      <c r="H8" s="1726"/>
      <c r="I8" s="1726"/>
      <c r="J8" s="1726"/>
      <c r="K8" s="1726"/>
      <c r="L8" s="300">
        <f>Reconciliation!G10</f>
        <v>0</v>
      </c>
      <c r="M8" s="301">
        <f>Reconciliation!G15</f>
        <v>0</v>
      </c>
      <c r="N8" s="302"/>
      <c r="W8" s="20" t="s">
        <v>149</v>
      </c>
    </row>
    <row r="9" spans="1:24" s="12" customFormat="1" ht="16.5" customHeight="1" x14ac:dyDescent="0.2">
      <c r="A9" s="244"/>
      <c r="B9" s="303"/>
      <c r="C9" s="1768"/>
      <c r="D9" s="241" t="s">
        <v>37</v>
      </c>
      <c r="E9" s="246" t="str">
        <f>LEFT('Set up ~ Config'!F46,4)</f>
        <v>1015</v>
      </c>
      <c r="F9" s="1726" t="str">
        <f>'Set up ~ Config'!G46</f>
        <v>Main Bank Account</v>
      </c>
      <c r="G9" s="1726"/>
      <c r="H9" s="1726"/>
      <c r="I9" s="1726"/>
      <c r="J9" s="1726"/>
      <c r="K9" s="1726"/>
      <c r="L9" s="304">
        <f>Reconciliation!G23</f>
        <v>0</v>
      </c>
      <c r="M9" s="301">
        <f>Reconciliation!G41</f>
        <v>0</v>
      </c>
      <c r="N9" s="302"/>
      <c r="Q9" s="305"/>
      <c r="R9" s="306"/>
      <c r="W9" s="20"/>
    </row>
    <row r="10" spans="1:24" s="12" customFormat="1" ht="16.5" customHeight="1" x14ac:dyDescent="0.2">
      <c r="A10" s="244"/>
      <c r="B10" s="303"/>
      <c r="C10" s="1768"/>
      <c r="D10" s="241" t="s">
        <v>150</v>
      </c>
      <c r="E10" s="246" t="str">
        <f>LEFT('Set up ~ Config'!F47,4)</f>
        <v>1020</v>
      </c>
      <c r="F10" s="1726" t="str">
        <f>'Set up ~ Config'!G47</f>
        <v>Canteen</v>
      </c>
      <c r="G10" s="1726"/>
      <c r="H10" s="1726"/>
      <c r="I10" s="1726"/>
      <c r="J10" s="1726"/>
      <c r="K10" s="1726"/>
      <c r="L10" s="304">
        <f>Reconciliation!G49</f>
        <v>0</v>
      </c>
      <c r="M10" s="301">
        <f>Reconciliation!G54</f>
        <v>0</v>
      </c>
      <c r="N10" s="302"/>
      <c r="P10" s="307"/>
      <c r="Q10" s="308"/>
      <c r="R10" s="308"/>
      <c r="S10" s="306"/>
      <c r="T10" s="306"/>
      <c r="U10" s="306"/>
      <c r="V10" s="306"/>
      <c r="W10" s="20"/>
    </row>
    <row r="11" spans="1:24" s="12" customFormat="1" ht="16.5" customHeight="1" x14ac:dyDescent="0.2">
      <c r="A11" s="244"/>
      <c r="B11" s="303"/>
      <c r="C11" s="1768"/>
      <c r="D11" s="241" t="s">
        <v>151</v>
      </c>
      <c r="E11" s="246" t="str">
        <f>LEFT('Set up ~ Config'!F48,4)</f>
        <v>1025</v>
      </c>
      <c r="F11" s="1726" t="str">
        <f>'Set up ~ Config'!G48</f>
        <v>Petty Cash</v>
      </c>
      <c r="G11" s="1726"/>
      <c r="H11" s="1726"/>
      <c r="I11" s="1726"/>
      <c r="J11" s="1726"/>
      <c r="K11" s="1726"/>
      <c r="L11" s="304">
        <f>Reconciliation!G62</f>
        <v>0</v>
      </c>
      <c r="M11" s="301">
        <f>Reconciliation!G67</f>
        <v>0</v>
      </c>
      <c r="N11" s="302"/>
      <c r="Q11" s="308"/>
      <c r="R11" s="308"/>
      <c r="S11" s="308"/>
      <c r="W11" s="22"/>
      <c r="X11" s="188"/>
    </row>
    <row r="12" spans="1:24" s="12" customFormat="1" ht="16.5" customHeight="1" x14ac:dyDescent="0.2">
      <c r="A12" s="244"/>
      <c r="B12" s="303"/>
      <c r="C12" s="1768"/>
      <c r="D12" s="241" t="s">
        <v>152</v>
      </c>
      <c r="E12" s="246" t="str">
        <f>LEFT('Set up ~ Config'!F49,4)</f>
        <v>1030</v>
      </c>
      <c r="F12" s="1726" t="str">
        <f>'Set up ~ Config'!G49</f>
        <v>Receivables - Short Term</v>
      </c>
      <c r="G12" s="1726"/>
      <c r="H12" s="1726"/>
      <c r="I12" s="1726"/>
      <c r="J12" s="1726"/>
      <c r="K12" s="1726"/>
      <c r="L12" s="304">
        <f>Reconciliation!G75</f>
        <v>0</v>
      </c>
      <c r="M12" s="301">
        <f>Reconciliation!G80</f>
        <v>0</v>
      </c>
      <c r="N12" s="302"/>
      <c r="Q12" s="308"/>
      <c r="R12" s="308"/>
      <c r="S12" s="308"/>
      <c r="W12" s="20"/>
      <c r="X12" s="188"/>
    </row>
    <row r="13" spans="1:24" s="12" customFormat="1" ht="16.5" customHeight="1" x14ac:dyDescent="0.2">
      <c r="A13" s="244"/>
      <c r="B13" s="303"/>
      <c r="C13" s="1768"/>
      <c r="D13" s="241" t="s">
        <v>153</v>
      </c>
      <c r="E13" s="246" t="str">
        <f>LEFT('Set up ~ Config'!F50,4)</f>
        <v>1035</v>
      </c>
      <c r="F13" s="1726" t="str">
        <f>IF('Set up ~ Config'!$G50="Disponible ~ Available",IF($P$1=2,"Disponible","Available"),'Set up ~ Config'!$G50)</f>
        <v>Available</v>
      </c>
      <c r="G13" s="1726"/>
      <c r="H13" s="1726"/>
      <c r="I13" s="1726"/>
      <c r="J13" s="1726"/>
      <c r="K13" s="1726"/>
      <c r="L13" s="304">
        <f>Reconciliation!G88</f>
        <v>0</v>
      </c>
      <c r="M13" s="301">
        <f>Reconciliation!G93</f>
        <v>0</v>
      </c>
      <c r="N13" s="302"/>
      <c r="Q13" s="308"/>
      <c r="R13" s="308"/>
      <c r="S13" s="308"/>
      <c r="W13" s="20"/>
      <c r="X13" s="188"/>
    </row>
    <row r="14" spans="1:24" s="12" customFormat="1" ht="16.5" customHeight="1" x14ac:dyDescent="0.2">
      <c r="A14" s="244"/>
      <c r="B14" s="303"/>
      <c r="C14" s="1768"/>
      <c r="D14" s="241" t="s">
        <v>154</v>
      </c>
      <c r="E14" s="246" t="str">
        <f>LEFT('Set up ~ Config'!F51,4)</f>
        <v>1040</v>
      </c>
      <c r="F14" s="1726" t="str">
        <f>IF('Set up ~ Config'!$G51="Disponible ~ Available",IF($P$1=2,"Disponible","Available"),'Set up ~ Config'!$G51)</f>
        <v>Available</v>
      </c>
      <c r="G14" s="1726"/>
      <c r="H14" s="1726"/>
      <c r="I14" s="1726"/>
      <c r="J14" s="1726"/>
      <c r="K14" s="1726"/>
      <c r="L14" s="304">
        <f>Reconciliation!G101</f>
        <v>0</v>
      </c>
      <c r="M14" s="301">
        <f>Reconciliation!G106</f>
        <v>0</v>
      </c>
      <c r="N14" s="302"/>
      <c r="Q14" s="308"/>
      <c r="R14" s="308"/>
      <c r="S14" s="308"/>
      <c r="W14" s="20"/>
      <c r="X14" s="188"/>
    </row>
    <row r="15" spans="1:24" s="12" customFormat="1" ht="16.5" customHeight="1" x14ac:dyDescent="0.2">
      <c r="A15" s="244"/>
      <c r="B15" s="303"/>
      <c r="C15" s="1768"/>
      <c r="D15" s="241" t="s">
        <v>155</v>
      </c>
      <c r="E15" s="246" t="str">
        <f>LEFT('Set up ~ Config'!F52,4)</f>
        <v>1045</v>
      </c>
      <c r="F15" s="1726" t="str">
        <f>IF('Set up ~ Config'!$G52="Disponible ~ Available",IF($P$1=2,"Disponible","Available"),'Set up ~ Config'!$G52)</f>
        <v>Available</v>
      </c>
      <c r="G15" s="1726"/>
      <c r="H15" s="1726"/>
      <c r="I15" s="1726"/>
      <c r="J15" s="1726"/>
      <c r="K15" s="1726"/>
      <c r="L15" s="304">
        <f>Reconciliation!G114</f>
        <v>0</v>
      </c>
      <c r="M15" s="301">
        <f>Reconciliation!G119</f>
        <v>0</v>
      </c>
      <c r="N15" s="302"/>
      <c r="Q15" s="308"/>
      <c r="R15" s="308"/>
      <c r="S15" s="308"/>
      <c r="W15" s="20"/>
      <c r="X15" s="188"/>
    </row>
    <row r="16" spans="1:24" s="12" customFormat="1" ht="16.5" customHeight="1" x14ac:dyDescent="0.2">
      <c r="A16" s="244"/>
      <c r="B16" s="303"/>
      <c r="C16" s="1768"/>
      <c r="D16" s="241" t="s">
        <v>156</v>
      </c>
      <c r="E16" s="246" t="str">
        <f>LEFT('Set up ~ Config'!F53,4)</f>
        <v>1050</v>
      </c>
      <c r="F16" s="1726" t="str">
        <f>IF('Set up ~ Config'!$G53="Disponible ~ Available",IF($P$1=2,"Disponible","Available"),'Set up ~ Config'!$G53)</f>
        <v>Available</v>
      </c>
      <c r="G16" s="1726"/>
      <c r="H16" s="1726"/>
      <c r="I16" s="1726"/>
      <c r="J16" s="1726"/>
      <c r="K16" s="1726"/>
      <c r="L16" s="304">
        <f>Reconciliation!G127</f>
        <v>0</v>
      </c>
      <c r="M16" s="301">
        <f>Reconciliation!G132</f>
        <v>0</v>
      </c>
      <c r="N16" s="302"/>
      <c r="Q16" s="308"/>
      <c r="R16" s="308"/>
      <c r="S16" s="308"/>
      <c r="W16" s="20"/>
      <c r="X16" s="188"/>
    </row>
    <row r="17" spans="1:24" s="12" customFormat="1" ht="16.5" customHeight="1" x14ac:dyDescent="0.2">
      <c r="A17" s="244"/>
      <c r="B17" s="303"/>
      <c r="C17" s="1768"/>
      <c r="D17" s="241" t="s">
        <v>157</v>
      </c>
      <c r="E17" s="246" t="str">
        <f>LEFT('Set up ~ Config'!F54,4)</f>
        <v>1055</v>
      </c>
      <c r="F17" s="1726" t="str">
        <f>IF('Set up ~ Config'!$G54="Disponible ~ Available",IF($P$1=2,"Disponible","Available"),'Set up ~ Config'!$G54)</f>
        <v>Available</v>
      </c>
      <c r="G17" s="1726"/>
      <c r="H17" s="1726"/>
      <c r="I17" s="1726"/>
      <c r="J17" s="1726"/>
      <c r="K17" s="1726"/>
      <c r="L17" s="304">
        <f>Reconciliation!G140</f>
        <v>0</v>
      </c>
      <c r="M17" s="301">
        <f>Reconciliation!G145</f>
        <v>0</v>
      </c>
      <c r="N17" s="302"/>
      <c r="Q17" s="308"/>
      <c r="R17" s="308"/>
      <c r="S17" s="308"/>
      <c r="W17" s="20"/>
      <c r="X17" s="188"/>
    </row>
    <row r="18" spans="1:24" s="12" customFormat="1" ht="16.5" customHeight="1" x14ac:dyDescent="0.2">
      <c r="A18" s="244"/>
      <c r="B18" s="303"/>
      <c r="C18" s="1768"/>
      <c r="D18" s="241" t="s">
        <v>158</v>
      </c>
      <c r="E18" s="246" t="str">
        <f>LEFT('Set up ~ Config'!F55,4)</f>
        <v>1060</v>
      </c>
      <c r="F18" s="1726" t="str">
        <f>IF('Set up ~ Config'!$G55="Disponible ~ Available",IF($P$1=2,"Disponible","Available"),'Set up ~ Config'!$G55)</f>
        <v>Available</v>
      </c>
      <c r="G18" s="1726"/>
      <c r="H18" s="1726"/>
      <c r="I18" s="1726"/>
      <c r="J18" s="1726"/>
      <c r="K18" s="1726"/>
      <c r="L18" s="304">
        <f>Reconciliation!G153</f>
        <v>0</v>
      </c>
      <c r="M18" s="301">
        <f>Reconciliation!G158</f>
        <v>0</v>
      </c>
      <c r="N18" s="302"/>
      <c r="Q18" s="308"/>
      <c r="R18" s="308"/>
      <c r="S18" s="308"/>
      <c r="W18" s="20"/>
      <c r="X18" s="188"/>
    </row>
    <row r="19" spans="1:24" s="12" customFormat="1" ht="16.5" customHeight="1" x14ac:dyDescent="0.2">
      <c r="A19" s="244"/>
      <c r="B19" s="303"/>
      <c r="C19" s="1768"/>
      <c r="D19" s="241" t="s">
        <v>159</v>
      </c>
      <c r="E19" s="246" t="str">
        <f>LEFT('Set up ~ Config'!F56,4)</f>
        <v>1065</v>
      </c>
      <c r="F19" s="1726" t="str">
        <f>IF('Set up ~ Config'!$G56="Disponible ~ Available",IF($P$1=2,"Disponible","Available"),'Set up ~ Config'!$G56)</f>
        <v>Available</v>
      </c>
      <c r="G19" s="1726"/>
      <c r="H19" s="1726"/>
      <c r="I19" s="1726"/>
      <c r="J19" s="1726"/>
      <c r="K19" s="1726"/>
      <c r="L19" s="304">
        <f>Reconciliation!G166</f>
        <v>0</v>
      </c>
      <c r="M19" s="301">
        <f>Reconciliation!G171</f>
        <v>0</v>
      </c>
      <c r="N19" s="302"/>
      <c r="Q19" s="308"/>
      <c r="R19" s="308"/>
      <c r="S19" s="308"/>
      <c r="W19" s="20"/>
      <c r="X19" s="188"/>
    </row>
    <row r="20" spans="1:24" s="12" customFormat="1" ht="16.5" customHeight="1" x14ac:dyDescent="0.2">
      <c r="A20" s="244"/>
      <c r="B20" s="303"/>
      <c r="C20" s="1768"/>
      <c r="D20" s="241" t="s">
        <v>299</v>
      </c>
      <c r="E20" s="246" t="str">
        <f>LEFT('Set up ~ Config'!F57,4)</f>
        <v>1070</v>
      </c>
      <c r="F20" s="1726" t="str">
        <f>IF('Set up ~ Config'!$G57="Disponible ~ Available",IF($P$1=2,"Disponible","Available"),'Set up ~ Config'!$G57)</f>
        <v>Available</v>
      </c>
      <c r="G20" s="1726"/>
      <c r="H20" s="1726"/>
      <c r="I20" s="1726"/>
      <c r="J20" s="1726"/>
      <c r="K20" s="1726"/>
      <c r="L20" s="304">
        <f>Reconciliation!G179</f>
        <v>0</v>
      </c>
      <c r="M20" s="301">
        <f>Reconciliation!G184</f>
        <v>0</v>
      </c>
      <c r="N20" s="302"/>
      <c r="Q20" s="308"/>
      <c r="R20" s="308"/>
      <c r="S20" s="308"/>
      <c r="W20" s="20"/>
      <c r="X20" s="188"/>
    </row>
    <row r="21" spans="1:24" s="12" customFormat="1" ht="16.5" customHeight="1" x14ac:dyDescent="0.2">
      <c r="A21" s="244"/>
      <c r="B21" s="303"/>
      <c r="C21" s="1768"/>
      <c r="D21" s="241" t="s">
        <v>300</v>
      </c>
      <c r="E21" s="246" t="str">
        <f>LEFT('Set up ~ Config'!F58,4)</f>
        <v>1075</v>
      </c>
      <c r="F21" s="1726" t="str">
        <f>IF('Set up ~ Config'!$G58="Disponible ~ Available",IF($P$1=2,"Disponible","Available"),'Set up ~ Config'!$G58)</f>
        <v>Available</v>
      </c>
      <c r="G21" s="1726"/>
      <c r="H21" s="1726"/>
      <c r="I21" s="1726"/>
      <c r="J21" s="1726"/>
      <c r="K21" s="1726"/>
      <c r="L21" s="304">
        <f>Reconciliation!G192</f>
        <v>0</v>
      </c>
      <c r="M21" s="301">
        <f>Reconciliation!G197</f>
        <v>0</v>
      </c>
      <c r="N21" s="302"/>
      <c r="Q21" s="308"/>
      <c r="R21" s="308"/>
      <c r="S21" s="308"/>
      <c r="W21" s="20"/>
      <c r="X21" s="188"/>
    </row>
    <row r="22" spans="1:24" s="12" customFormat="1" ht="16.5" customHeight="1" x14ac:dyDescent="0.2">
      <c r="A22" s="244"/>
      <c r="B22" s="303"/>
      <c r="C22" s="1768"/>
      <c r="D22" s="241" t="s">
        <v>303</v>
      </c>
      <c r="E22" s="246" t="str">
        <f>LEFT('Set up ~ Config'!F59,4)</f>
        <v>1080</v>
      </c>
      <c r="F22" s="1726" t="str">
        <f>IF('Set up ~ Config'!$G59="Disponible ~ Available",IF($P$1=2,"Disponible","Available"),'Set up ~ Config'!$G59)</f>
        <v>Available</v>
      </c>
      <c r="G22" s="1726"/>
      <c r="H22" s="1726"/>
      <c r="I22" s="1726"/>
      <c r="J22" s="1726"/>
      <c r="K22" s="1726"/>
      <c r="L22" s="304">
        <f>Reconciliation!G205</f>
        <v>0</v>
      </c>
      <c r="M22" s="301">
        <f>Reconciliation!G210</f>
        <v>0</v>
      </c>
      <c r="N22" s="302"/>
      <c r="Q22" s="308"/>
      <c r="R22" s="308"/>
      <c r="S22" s="308"/>
      <c r="W22" s="20"/>
      <c r="X22" s="188"/>
    </row>
    <row r="23" spans="1:24" s="12" customFormat="1" ht="16.5" customHeight="1" x14ac:dyDescent="0.2">
      <c r="A23" s="244"/>
      <c r="B23" s="303"/>
      <c r="C23" s="1768"/>
      <c r="D23" s="241" t="s">
        <v>305</v>
      </c>
      <c r="E23" s="246" t="str">
        <f>LEFT('Set up ~ Config'!F60,4)</f>
        <v>1085</v>
      </c>
      <c r="F23" s="1726" t="str">
        <f>IF('Set up ~ Config'!$G60="Disponible ~ Available",IF($P$1=2,"Disponible","Available"),'Set up ~ Config'!$G60)</f>
        <v>Available</v>
      </c>
      <c r="G23" s="1726"/>
      <c r="H23" s="1726"/>
      <c r="I23" s="1726"/>
      <c r="J23" s="1726"/>
      <c r="K23" s="1726"/>
      <c r="L23" s="304">
        <f>Reconciliation!G218</f>
        <v>0</v>
      </c>
      <c r="M23" s="301">
        <f>Reconciliation!G223</f>
        <v>0</v>
      </c>
      <c r="N23" s="302"/>
      <c r="Q23" s="308"/>
      <c r="R23" s="308"/>
      <c r="S23" s="308"/>
      <c r="W23" s="20"/>
      <c r="X23" s="188"/>
    </row>
    <row r="24" spans="1:24" s="12" customFormat="1" ht="16.5" customHeight="1" x14ac:dyDescent="0.2">
      <c r="A24" s="244"/>
      <c r="B24" s="303"/>
      <c r="C24" s="1768"/>
      <c r="D24" s="241" t="s">
        <v>307</v>
      </c>
      <c r="E24" s="246" t="str">
        <f>LEFT('Set up ~ Config'!F61,4)</f>
        <v>1090</v>
      </c>
      <c r="F24" s="1726" t="str">
        <f>IF('Set up ~ Config'!$G61="Disponible ~ Available",IF($P$1=2,"Disponible","Available"),'Set up ~ Config'!$G61)</f>
        <v>Available</v>
      </c>
      <c r="G24" s="1726"/>
      <c r="H24" s="1726"/>
      <c r="I24" s="1726"/>
      <c r="J24" s="1726"/>
      <c r="K24" s="1726"/>
      <c r="L24" s="304">
        <f>Reconciliation!G231</f>
        <v>0</v>
      </c>
      <c r="M24" s="301">
        <f>Reconciliation!G236</f>
        <v>0</v>
      </c>
      <c r="N24" s="302"/>
      <c r="Q24" s="308"/>
      <c r="R24" s="308"/>
      <c r="S24" s="308"/>
      <c r="W24" s="20"/>
      <c r="X24" s="188"/>
    </row>
    <row r="25" spans="1:24" s="12" customFormat="1" ht="16.5" customHeight="1" x14ac:dyDescent="0.2">
      <c r="A25" s="244"/>
      <c r="B25" s="303"/>
      <c r="C25" s="1768"/>
      <c r="D25" s="241" t="s">
        <v>308</v>
      </c>
      <c r="E25" s="246" t="str">
        <f>LEFT('Set up ~ Config'!F62,4)</f>
        <v>1095</v>
      </c>
      <c r="F25" s="1726" t="str">
        <f>IF('Set up ~ Config'!$G62="Disponible ~ Available",IF($P$1=2,"Disponible","Available"),'Set up ~ Config'!$G62)</f>
        <v>Available</v>
      </c>
      <c r="G25" s="1726"/>
      <c r="H25" s="1726"/>
      <c r="I25" s="1726"/>
      <c r="J25" s="1726"/>
      <c r="K25" s="1726"/>
      <c r="L25" s="304">
        <f>Reconciliation!G244</f>
        <v>0</v>
      </c>
      <c r="M25" s="301">
        <f>Reconciliation!G249</f>
        <v>0</v>
      </c>
      <c r="N25" s="302"/>
      <c r="Q25" s="308"/>
      <c r="R25" s="308"/>
      <c r="S25" s="308"/>
      <c r="W25" s="20"/>
      <c r="X25" s="188"/>
    </row>
    <row r="26" spans="1:24" s="12" customFormat="1" ht="16.5" customHeight="1" x14ac:dyDescent="0.2">
      <c r="A26" s="244"/>
      <c r="B26" s="311"/>
      <c r="C26" s="312"/>
      <c r="D26" s="241"/>
      <c r="E26" s="313">
        <v>1100</v>
      </c>
      <c r="F26" s="1769" t="str">
        <f>IF(P1=2,"Total Actifs à court terme:","Total Current Assets:")</f>
        <v>Total Current Assets:</v>
      </c>
      <c r="G26" s="1769"/>
      <c r="H26" s="1769"/>
      <c r="I26" s="1769"/>
      <c r="J26" s="1769"/>
      <c r="K26" s="1769"/>
      <c r="L26" s="314">
        <f>+SUM(L8:L25)</f>
        <v>0</v>
      </c>
      <c r="M26" s="315"/>
      <c r="N26" s="316">
        <f>SUM(M8:M25)</f>
        <v>0</v>
      </c>
      <c r="Q26" s="310"/>
      <c r="R26" s="79"/>
      <c r="S26" s="79"/>
    </row>
    <row r="27" spans="1:24" s="12" customFormat="1" ht="16.5" customHeight="1" x14ac:dyDescent="0.2">
      <c r="A27" s="244"/>
      <c r="B27" s="317"/>
      <c r="C27" s="1767" t="str">
        <f>IF(P1=2,"1200 - Actifs à long terme:","1200 - Long-Term Assets:")</f>
        <v>1200 - Long-Term Assets:</v>
      </c>
      <c r="D27" s="1767"/>
      <c r="E27" s="1767"/>
      <c r="F27" s="1767"/>
      <c r="G27" s="1767"/>
      <c r="H27" s="1767"/>
      <c r="I27" s="1767"/>
      <c r="J27" s="1767"/>
      <c r="K27" s="1767"/>
      <c r="L27" s="226" t="str">
        <f>IF(P1=2,"L'an passé","Last year")</f>
        <v>Last year</v>
      </c>
      <c r="M27" s="226" t="str">
        <f>IF(P1=2,"Cette année","Current year")</f>
        <v>Current year</v>
      </c>
      <c r="N27" s="302"/>
      <c r="Q27" s="310"/>
      <c r="R27" s="79"/>
      <c r="S27" s="79"/>
    </row>
    <row r="28" spans="1:24" s="12" customFormat="1" ht="17.25" customHeight="1" x14ac:dyDescent="0.2">
      <c r="A28" s="244"/>
      <c r="B28" s="309"/>
      <c r="C28" s="1768">
        <v>2</v>
      </c>
      <c r="D28" s="318" t="s">
        <v>36</v>
      </c>
      <c r="E28" s="246" t="str">
        <f>LEFT('Set up ~ Config'!F64,4)</f>
        <v>1210</v>
      </c>
      <c r="F28" s="1737" t="str">
        <f>'Set up ~ Config'!G64</f>
        <v>Investments GICs</v>
      </c>
      <c r="G28" s="1737"/>
      <c r="H28" s="1737"/>
      <c r="I28" s="1737"/>
      <c r="J28" s="1737"/>
      <c r="K28" s="1737"/>
      <c r="L28" s="304">
        <f>Reconciliation!G257</f>
        <v>0</v>
      </c>
      <c r="M28" s="301">
        <f>Reconciliation!$G262</f>
        <v>0</v>
      </c>
      <c r="N28" s="302"/>
      <c r="Q28" s="310"/>
      <c r="R28" s="319"/>
      <c r="S28" s="319"/>
      <c r="T28" s="18"/>
      <c r="U28" s="18"/>
      <c r="V28" s="18"/>
      <c r="W28" s="18"/>
    </row>
    <row r="29" spans="1:24" s="12" customFormat="1" ht="18" customHeight="1" x14ac:dyDescent="0.2">
      <c r="A29" s="244"/>
      <c r="B29" s="309"/>
      <c r="C29" s="1768"/>
      <c r="D29" s="245" t="s">
        <v>37</v>
      </c>
      <c r="E29" s="246" t="str">
        <f>LEFT('Set up ~ Config'!F65,4)</f>
        <v>1220</v>
      </c>
      <c r="F29" s="1737" t="str">
        <f>'Set up ~ Config'!G65</f>
        <v>Investments (Mutual Funds and such)</v>
      </c>
      <c r="G29" s="1737"/>
      <c r="H29" s="1737"/>
      <c r="I29" s="1737"/>
      <c r="J29" s="1737"/>
      <c r="K29" s="1737"/>
      <c r="L29" s="304">
        <f>Reconciliation!G270</f>
        <v>0</v>
      </c>
      <c r="M29" s="301">
        <f>Reconciliation!$G275</f>
        <v>0</v>
      </c>
      <c r="N29" s="302"/>
      <c r="O29" s="194"/>
      <c r="Q29" s="310"/>
      <c r="R29" s="319"/>
      <c r="S29" s="308"/>
      <c r="T29" s="18"/>
      <c r="U29" s="18"/>
      <c r="V29" s="18"/>
      <c r="W29" s="18"/>
    </row>
    <row r="30" spans="1:24" s="12" customFormat="1" ht="20.25" customHeight="1" x14ac:dyDescent="0.2">
      <c r="A30" s="244"/>
      <c r="B30" s="320"/>
      <c r="C30" s="1768"/>
      <c r="D30" s="241" t="s">
        <v>150</v>
      </c>
      <c r="E30" s="246" t="str">
        <f>LEFT('Set up ~ Config'!F66,4)</f>
        <v>1230</v>
      </c>
      <c r="F30" s="1726" t="str">
        <f>IF('Set up ~ Config'!$G66="Disponible ~ Available",IF($P$1=2,"Disponible","Available"),'Set up ~ Config'!$G66)</f>
        <v>Available</v>
      </c>
      <c r="G30" s="1726"/>
      <c r="H30" s="1726"/>
      <c r="I30" s="1726"/>
      <c r="J30" s="1726"/>
      <c r="K30" s="1726"/>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2">
      <c r="A31" s="244"/>
      <c r="B31" s="320"/>
      <c r="C31" s="1768"/>
      <c r="D31" s="241" t="s">
        <v>151</v>
      </c>
      <c r="E31" s="246" t="str">
        <f>LEFT('Set up ~ Config'!F67,4)</f>
        <v>1240</v>
      </c>
      <c r="F31" s="1726" t="str">
        <f>IF('Set up ~ Config'!$G67="Disponible ~ Available",IF($P$1=2,"Disponible","Available"),'Set up ~ Config'!$G67)</f>
        <v>Available</v>
      </c>
      <c r="G31" s="1726"/>
      <c r="H31" s="1726"/>
      <c r="I31" s="1726"/>
      <c r="J31" s="1726"/>
      <c r="K31" s="1726"/>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2">
      <c r="A32" s="244"/>
      <c r="B32" s="320"/>
      <c r="C32" s="1768"/>
      <c r="D32" s="241" t="s">
        <v>152</v>
      </c>
      <c r="E32" s="246" t="str">
        <f>LEFT('Set up ~ Config'!F68,4)</f>
        <v>1250</v>
      </c>
      <c r="F32" s="1726" t="str">
        <f>IF('Set up ~ Config'!$G68="Disponible ~ Available",IF($P$1=2,"Disponible","Available"),'Set up ~ Config'!$G68)</f>
        <v>Available</v>
      </c>
      <c r="G32" s="1726"/>
      <c r="H32" s="1726"/>
      <c r="I32" s="1726"/>
      <c r="J32" s="1726"/>
      <c r="K32" s="1726"/>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2">
      <c r="A33" s="244"/>
      <c r="B33" s="320"/>
      <c r="C33" s="1768"/>
      <c r="D33" s="241" t="s">
        <v>153</v>
      </c>
      <c r="E33" s="246" t="str">
        <f>LEFT('Set up ~ Config'!F69,4)</f>
        <v>1260</v>
      </c>
      <c r="F33" s="1726" t="str">
        <f>IF('Set up ~ Config'!$G69="Disponible ~ Available",IF($P$1=2,"Disponible","Available"),'Set up ~ Config'!$G69)</f>
        <v>Available</v>
      </c>
      <c r="G33" s="1726"/>
      <c r="H33" s="1726"/>
      <c r="I33" s="1726"/>
      <c r="J33" s="1726"/>
      <c r="K33" s="1726"/>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2">
      <c r="A34" s="244"/>
      <c r="B34" s="320"/>
      <c r="C34" s="1768"/>
      <c r="D34" s="241" t="s">
        <v>154</v>
      </c>
      <c r="E34" s="246" t="str">
        <f>LEFT('Set up ~ Config'!F70,4)</f>
        <v>1270</v>
      </c>
      <c r="F34" s="1726" t="str">
        <f>IF('Set up ~ Config'!$G70="Disponible ~ Available",IF($P$1=2,"Disponible","Available"),'Set up ~ Config'!$G70)</f>
        <v>Available</v>
      </c>
      <c r="G34" s="1726"/>
      <c r="H34" s="1726"/>
      <c r="I34" s="1726"/>
      <c r="J34" s="1726"/>
      <c r="K34" s="1726"/>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2">
      <c r="A35" s="244"/>
      <c r="B35" s="320"/>
      <c r="C35" s="1768"/>
      <c r="D35" s="241" t="s">
        <v>155</v>
      </c>
      <c r="E35" s="246" t="str">
        <f>LEFT('Set up ~ Config'!F71,4)</f>
        <v>1280</v>
      </c>
      <c r="F35" s="1726" t="str">
        <f>IF('Set up ~ Config'!$G71="Disponible ~ Available",IF($P$1=2,"Disponible","Available"),'Set up ~ Config'!$G71)</f>
        <v>Available</v>
      </c>
      <c r="G35" s="1726"/>
      <c r="H35" s="1726"/>
      <c r="I35" s="1726"/>
      <c r="J35" s="1726"/>
      <c r="K35" s="1726"/>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2">
      <c r="A36" s="244"/>
      <c r="B36" s="320"/>
      <c r="C36" s="1768"/>
      <c r="D36" s="241" t="s">
        <v>156</v>
      </c>
      <c r="E36" s="246" t="str">
        <f>LEFT('Set up ~ Config'!F72,4)</f>
        <v>1290</v>
      </c>
      <c r="F36" s="1726" t="str">
        <f>IF('Set up ~ Config'!$G72="Disponible ~ Available",IF($P$1=2,"Disponible","Available"),'Set up ~ Config'!$G72)</f>
        <v>Available</v>
      </c>
      <c r="G36" s="1726"/>
      <c r="H36" s="1726"/>
      <c r="I36" s="1726"/>
      <c r="J36" s="1726"/>
      <c r="K36" s="1726"/>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2">
      <c r="A37" s="17"/>
      <c r="B37" s="311"/>
      <c r="C37" s="312"/>
      <c r="D37" s="241"/>
      <c r="E37" s="313">
        <v>1300</v>
      </c>
      <c r="F37" s="1769" t="str">
        <f>IF(P1=2,"Total Actifs à long terme:","Total Long-Term Assets:")</f>
        <v>Total Long-Term Assets:</v>
      </c>
      <c r="G37" s="1769"/>
      <c r="H37" s="1769"/>
      <c r="I37" s="1769"/>
      <c r="J37" s="1769"/>
      <c r="K37" s="1769"/>
      <c r="L37" s="314">
        <f>+SUM(L28:L36)</f>
        <v>0</v>
      </c>
      <c r="M37" s="315"/>
      <c r="N37" s="316">
        <f>SUM(M28:M36)</f>
        <v>0</v>
      </c>
      <c r="Q37" s="322"/>
      <c r="R37" s="322"/>
    </row>
    <row r="38" spans="1:24" s="9" customFormat="1" ht="7.5" customHeight="1" x14ac:dyDescent="0.2">
      <c r="B38" s="323"/>
      <c r="C38" s="1770"/>
      <c r="D38" s="1770"/>
      <c r="E38" s="1770"/>
      <c r="F38" s="1770"/>
      <c r="G38" s="1770"/>
      <c r="H38" s="1770"/>
      <c r="I38" s="1770"/>
      <c r="J38" s="1770"/>
      <c r="K38" s="1770"/>
      <c r="L38" s="1770"/>
      <c r="M38" s="1770"/>
      <c r="N38" s="324"/>
      <c r="Q38" s="325"/>
    </row>
    <row r="39" spans="1:24" s="9" customFormat="1" ht="14.25" customHeight="1" x14ac:dyDescent="0.2">
      <c r="B39" s="326"/>
      <c r="C39" s="1767" t="str">
        <f>IF(P1=2,"1500 - Immobilisations:","1500 - Fixed Assets:")</f>
        <v>1500 - Fixed Assets:</v>
      </c>
      <c r="D39" s="1767"/>
      <c r="E39" s="1767"/>
      <c r="F39" s="1767"/>
      <c r="G39" s="1767"/>
      <c r="H39" s="1767"/>
      <c r="I39" s="1767"/>
      <c r="J39" s="1767"/>
      <c r="K39" s="1767"/>
      <c r="L39" s="131" t="str">
        <f>IF($P$1=2,"Valeur à","Purchase")</f>
        <v>Purchase</v>
      </c>
      <c r="M39" s="131" t="str">
        <f>IF($P$1=2,"A valeur","At Nominal")</f>
        <v>At Nominal</v>
      </c>
      <c r="N39" s="1771"/>
      <c r="Q39" s="325"/>
    </row>
    <row r="40" spans="1:24" s="9" customFormat="1" ht="12" customHeight="1" x14ac:dyDescent="0.2">
      <c r="B40" s="327"/>
      <c r="C40" s="1767"/>
      <c r="D40" s="1767"/>
      <c r="E40" s="1767"/>
      <c r="F40" s="1767"/>
      <c r="G40" s="1767"/>
      <c r="H40" s="1767"/>
      <c r="I40" s="1767"/>
      <c r="J40" s="1767"/>
      <c r="K40" s="1767"/>
      <c r="L40" s="328" t="str">
        <f>IF($P$1=2,"l'achat","Cost")</f>
        <v>Cost</v>
      </c>
      <c r="M40" s="328" t="str">
        <f>IF($P$1=2,"nominale de $1","Value of $1")</f>
        <v>Value of $1</v>
      </c>
      <c r="N40" s="1771"/>
    </row>
    <row r="41" spans="1:24" s="12" customFormat="1" ht="16.5" customHeight="1" x14ac:dyDescent="0.2">
      <c r="B41" s="329"/>
      <c r="C41" s="1768">
        <v>3</v>
      </c>
      <c r="D41" s="241" t="s">
        <v>36</v>
      </c>
      <c r="E41" s="246" t="str">
        <f>LEFT('ACC9 (Pages 9-11) Assets~Immo'!B8,4)</f>
        <v>1510</v>
      </c>
      <c r="F41" s="1772" t="str">
        <f>'ACC9 (Pages 9-11) Assets~Immo'!C8</f>
        <v>Aircrafts</v>
      </c>
      <c r="G41" s="1772"/>
      <c r="H41" s="1772"/>
      <c r="I41" s="1772"/>
      <c r="J41" s="1772"/>
      <c r="K41" s="1772"/>
      <c r="L41" s="304">
        <f>'ACC9 (Pages 9-11) Assets~Immo'!I17</f>
        <v>0</v>
      </c>
      <c r="M41" s="301">
        <f t="shared" ref="M41:M52" si="0">IF(L41&gt;0,1,0)</f>
        <v>0</v>
      </c>
      <c r="N41" s="1771"/>
      <c r="Q41" s="330"/>
    </row>
    <row r="42" spans="1:24" s="12" customFormat="1" ht="16.5" customHeight="1" x14ac:dyDescent="0.2">
      <c r="B42" s="331"/>
      <c r="C42" s="1768"/>
      <c r="D42" s="241" t="s">
        <v>37</v>
      </c>
      <c r="E42" s="246" t="str">
        <f>LEFT('ACC9 (Pages 9-11) Assets~Immo'!B19,4)</f>
        <v>1520</v>
      </c>
      <c r="F42" s="1772" t="str">
        <f>'ACC9 (Pages 9-11) Assets~Immo'!C19</f>
        <v>Land &amp; Properties</v>
      </c>
      <c r="G42" s="1772"/>
      <c r="H42" s="1772"/>
      <c r="I42" s="1772"/>
      <c r="J42" s="1772"/>
      <c r="K42" s="1772"/>
      <c r="L42" s="304">
        <f>'ACC9 (Pages 9-11) Assets~Immo'!I28</f>
        <v>0</v>
      </c>
      <c r="M42" s="301">
        <f t="shared" si="0"/>
        <v>0</v>
      </c>
      <c r="N42" s="1771"/>
      <c r="Q42" s="1"/>
    </row>
    <row r="43" spans="1:24" s="12" customFormat="1" ht="16.5" customHeight="1" x14ac:dyDescent="0.2">
      <c r="B43" s="331"/>
      <c r="C43" s="1768"/>
      <c r="D43" s="241" t="s">
        <v>150</v>
      </c>
      <c r="E43" s="246" t="str">
        <f>LEFT('ACC9 (Pages 9-11) Assets~Immo'!B30,4)</f>
        <v>1530</v>
      </c>
      <c r="F43" s="1772" t="str">
        <f>'ACC9 (Pages 9-11) Assets~Immo'!C30</f>
        <v>Buildings</v>
      </c>
      <c r="G43" s="1772"/>
      <c r="H43" s="1772"/>
      <c r="I43" s="1772"/>
      <c r="J43" s="1772"/>
      <c r="K43" s="1772"/>
      <c r="L43" s="304">
        <f>'ACC9 (Pages 9-11) Assets~Immo'!I39</f>
        <v>0</v>
      </c>
      <c r="M43" s="301">
        <f t="shared" si="0"/>
        <v>0</v>
      </c>
      <c r="N43" s="1771"/>
      <c r="Q43" s="1"/>
    </row>
    <row r="44" spans="1:24" s="12" customFormat="1" ht="16.5" customHeight="1" x14ac:dyDescent="0.2">
      <c r="B44" s="331"/>
      <c r="C44" s="1768"/>
      <c r="D44" s="241" t="s">
        <v>151</v>
      </c>
      <c r="E44" s="246" t="str">
        <f>LEFT('ACC9 (Pages 9-11) Assets~Immo'!B41,4)</f>
        <v>1540</v>
      </c>
      <c r="F44" s="1772" t="str">
        <f>'ACC9 (Pages 9-11) Assets~Immo'!C41</f>
        <v>Vehicles</v>
      </c>
      <c r="G44" s="1772"/>
      <c r="H44" s="1772"/>
      <c r="I44" s="1772"/>
      <c r="J44" s="1772"/>
      <c r="K44" s="1772"/>
      <c r="L44" s="304">
        <f>'ACC9 (Pages 9-11) Assets~Immo'!I50</f>
        <v>0</v>
      </c>
      <c r="M44" s="301">
        <f t="shared" si="0"/>
        <v>0</v>
      </c>
      <c r="N44" s="1771"/>
      <c r="Q44" s="1"/>
    </row>
    <row r="45" spans="1:24" s="12" customFormat="1" ht="16.5" customHeight="1" x14ac:dyDescent="0.2">
      <c r="B45" s="331"/>
      <c r="C45" s="1768"/>
      <c r="D45" s="241" t="s">
        <v>152</v>
      </c>
      <c r="E45" s="246" t="str">
        <f>LEFT('ACC9 (Pages 9-11) Assets~Immo'!B52,4)</f>
        <v>1550</v>
      </c>
      <c r="F45" s="1772" t="str">
        <f>'ACC9 (Pages 9-11) Assets~Immo'!C52</f>
        <v>Office Equipment</v>
      </c>
      <c r="G45" s="1772"/>
      <c r="H45" s="1772"/>
      <c r="I45" s="1772"/>
      <c r="J45" s="1772"/>
      <c r="K45" s="1772"/>
      <c r="L45" s="304">
        <f>'ACC9 (Pages 9-11) Assets~Immo'!I61</f>
        <v>0</v>
      </c>
      <c r="M45" s="301">
        <f t="shared" si="0"/>
        <v>0</v>
      </c>
      <c r="N45" s="1771"/>
      <c r="Q45" s="1"/>
    </row>
    <row r="46" spans="1:24" s="12" customFormat="1" ht="16.5" customHeight="1" x14ac:dyDescent="0.2">
      <c r="B46" s="331"/>
      <c r="C46" s="1768"/>
      <c r="D46" s="241" t="s">
        <v>153</v>
      </c>
      <c r="E46" s="246" t="str">
        <f>LEFT('ACC9 (Pages 9-11) Assets~Immo'!B63,4)</f>
        <v>1560</v>
      </c>
      <c r="F46" s="1772" t="str">
        <f>'ACC9 (Pages 9-11) Assets~Immo'!C63</f>
        <v>Sport Equipment</v>
      </c>
      <c r="G46" s="1772"/>
      <c r="H46" s="1772"/>
      <c r="I46" s="1772"/>
      <c r="J46" s="1772"/>
      <c r="K46" s="1772"/>
      <c r="L46" s="304">
        <f>'ACC9 (Pages 9-11) Assets~Immo'!I72</f>
        <v>0</v>
      </c>
      <c r="M46" s="301">
        <f t="shared" si="0"/>
        <v>0</v>
      </c>
      <c r="N46" s="1771"/>
      <c r="Q46" s="1"/>
      <c r="T46" s="332"/>
    </row>
    <row r="47" spans="1:24" s="12" customFormat="1" ht="16.5" customHeight="1" x14ac:dyDescent="0.2">
      <c r="B47" s="331"/>
      <c r="C47" s="1768"/>
      <c r="D47" s="241" t="s">
        <v>154</v>
      </c>
      <c r="E47" s="246" t="str">
        <f>LEFT('ACC9 (Pages 9-11) Assets~Immo'!B74,4)</f>
        <v>1570</v>
      </c>
      <c r="F47" s="1772" t="str">
        <f>'ACC9 (Pages 9-11) Assets~Immo'!C74</f>
        <v>Photography Equipment</v>
      </c>
      <c r="G47" s="1772"/>
      <c r="H47" s="1772"/>
      <c r="I47" s="1772"/>
      <c r="J47" s="1772"/>
      <c r="K47" s="1772"/>
      <c r="L47" s="304">
        <f>'ACC9 (Pages 9-11) Assets~Immo'!I83</f>
        <v>0</v>
      </c>
      <c r="M47" s="301">
        <f t="shared" si="0"/>
        <v>0</v>
      </c>
      <c r="N47" s="1771"/>
      <c r="Q47" s="1"/>
    </row>
    <row r="48" spans="1:24" s="12" customFormat="1" ht="16.5" customHeight="1" x14ac:dyDescent="0.2">
      <c r="B48" s="331"/>
      <c r="C48" s="1768"/>
      <c r="D48" s="241" t="s">
        <v>155</v>
      </c>
      <c r="E48" s="246" t="str">
        <f>LEFT('ACC9 (Pages 9-11) Assets~Immo'!B85,4)</f>
        <v>1580</v>
      </c>
      <c r="F48" s="1772" t="str">
        <f>'ACC9 (Pages 9-11) Assets~Immo'!C85</f>
        <v>Field Equipment</v>
      </c>
      <c r="G48" s="1772"/>
      <c r="H48" s="1772"/>
      <c r="I48" s="1772"/>
      <c r="J48" s="1772"/>
      <c r="K48" s="1772"/>
      <c r="L48" s="304">
        <f>'ACC9 (Pages 9-11) Assets~Immo'!I94</f>
        <v>0</v>
      </c>
      <c r="M48" s="301">
        <f t="shared" si="0"/>
        <v>0</v>
      </c>
      <c r="N48" s="1771"/>
      <c r="Q48" s="1"/>
    </row>
    <row r="49" spans="2:19" s="12" customFormat="1" ht="16.5" customHeight="1" x14ac:dyDescent="0.2">
      <c r="B49" s="331"/>
      <c r="C49" s="1768"/>
      <c r="D49" s="241" t="s">
        <v>156</v>
      </c>
      <c r="E49" s="246" t="str">
        <f>LEFT('ACC9 (Pages 9-11) Assets~Immo'!B96,4)</f>
        <v>1590</v>
      </c>
      <c r="F49" s="1772" t="str">
        <f>'ACC9 (Pages 9-11) Assets~Immo'!C96</f>
        <v>Electronic Equipment</v>
      </c>
      <c r="G49" s="1772"/>
      <c r="H49" s="1772"/>
      <c r="I49" s="1772"/>
      <c r="J49" s="1772"/>
      <c r="K49" s="1772"/>
      <c r="L49" s="304">
        <f>'ACC9 (Pages 9-11) Assets~Immo'!I105</f>
        <v>0</v>
      </c>
      <c r="M49" s="301">
        <f t="shared" si="0"/>
        <v>0</v>
      </c>
      <c r="N49" s="1771"/>
      <c r="Q49" s="1"/>
    </row>
    <row r="50" spans="2:19" s="12" customFormat="1" ht="16.5" customHeight="1" x14ac:dyDescent="0.2">
      <c r="B50" s="331"/>
      <c r="C50" s="1768"/>
      <c r="D50" s="241" t="s">
        <v>157</v>
      </c>
      <c r="E50" s="246" t="str">
        <f>LEFT('ACC9 (Pages 9-11) Assets~Immo'!B107,4)</f>
        <v>1600</v>
      </c>
      <c r="F50" s="1772" t="str">
        <f>'ACC9 (Pages 9-11) Assets~Immo'!C107</f>
        <v>Music Instruments &amp; Accessories</v>
      </c>
      <c r="G50" s="1772"/>
      <c r="H50" s="1772"/>
      <c r="I50" s="1772"/>
      <c r="J50" s="1772"/>
      <c r="K50" s="1772"/>
      <c r="L50" s="304">
        <f>'ACC9 (Pages 9-11) Assets~Immo'!I124</f>
        <v>0</v>
      </c>
      <c r="M50" s="301">
        <f t="shared" si="0"/>
        <v>0</v>
      </c>
      <c r="N50" s="1771"/>
      <c r="Q50" s="1"/>
    </row>
    <row r="51" spans="2:19" s="12" customFormat="1" ht="16.5" customHeight="1" x14ac:dyDescent="0.2">
      <c r="B51" s="331"/>
      <c r="C51" s="1768"/>
      <c r="D51" s="241" t="s">
        <v>158</v>
      </c>
      <c r="E51" s="246" t="str">
        <f>LEFT('ACC9 (Pages 9-11) Assets~Immo'!B126,4)</f>
        <v>1610</v>
      </c>
      <c r="F51" s="1772" t="str">
        <f>'ACC9 (Pages 9-11) Assets~Immo'!C126</f>
        <v>Trophies &amp; Awards</v>
      </c>
      <c r="G51" s="1772"/>
      <c r="H51" s="1772"/>
      <c r="I51" s="1772"/>
      <c r="J51" s="1772"/>
      <c r="K51" s="1772"/>
      <c r="L51" s="304">
        <f>'ACC9 (Pages 9-11) Assets~Immo'!I135</f>
        <v>0</v>
      </c>
      <c r="M51" s="301">
        <f t="shared" si="0"/>
        <v>0</v>
      </c>
      <c r="N51" s="1771"/>
      <c r="Q51" s="1"/>
    </row>
    <row r="52" spans="2:19" s="12" customFormat="1" ht="16.5" customHeight="1" x14ac:dyDescent="0.2">
      <c r="B52" s="333"/>
      <c r="C52" s="1768"/>
      <c r="D52" s="241" t="s">
        <v>159</v>
      </c>
      <c r="E52" s="246" t="str">
        <f>LEFT('ACC9 (Pages 9-11) Assets~Immo'!B137,4)</f>
        <v>1620</v>
      </c>
      <c r="F52" s="1772" t="str">
        <f>'ACC9 (Pages 9-11) Assets~Immo'!C137</f>
        <v>Miscellaneous</v>
      </c>
      <c r="G52" s="1772"/>
      <c r="H52" s="1772"/>
      <c r="I52" s="1772"/>
      <c r="J52" s="1772"/>
      <c r="K52" s="1772"/>
      <c r="L52" s="304">
        <f>'ACC9 (Pages 9-11) Assets~Immo'!I146</f>
        <v>0</v>
      </c>
      <c r="M52" s="301">
        <f t="shared" si="0"/>
        <v>0</v>
      </c>
      <c r="N52" s="1771"/>
      <c r="Q52" s="1"/>
    </row>
    <row r="53" spans="2:19" s="12" customFormat="1" ht="18.75" customHeight="1" x14ac:dyDescent="0.2">
      <c r="B53" s="244"/>
      <c r="C53" s="82"/>
      <c r="D53" s="1773"/>
      <c r="E53" s="313">
        <v>1700</v>
      </c>
      <c r="F53" s="1774" t="str">
        <f>IF(P1=2,"Total Immobilisations - Valeurs de remplacement par catégorie:","Total Fixed Assets - At Replacement Value per category:")</f>
        <v>Total Fixed Assets - At Replacement Value per category:</v>
      </c>
      <c r="G53" s="1774"/>
      <c r="H53" s="1774"/>
      <c r="I53" s="1774"/>
      <c r="J53" s="1774"/>
      <c r="K53" s="1774"/>
      <c r="L53" s="334">
        <f>SUM(L41:L52)</f>
        <v>0</v>
      </c>
      <c r="M53" s="335"/>
      <c r="N53" s="1771"/>
    </row>
    <row r="54" spans="2:19" s="1" customFormat="1" ht="16.5" customHeight="1" x14ac:dyDescent="0.25">
      <c r="D54" s="1773"/>
      <c r="E54" s="336">
        <v>1800</v>
      </c>
      <c r="F54" s="1775" t="str">
        <f>IF(P1=2,"Total Immobilisations - Valeurs nominales de 1$ par catégorie:","Total Fixed Assets - At Nominal $1 Value per category:")</f>
        <v>Total Fixed Assets - At Nominal $1 Value per category:</v>
      </c>
      <c r="G54" s="1775"/>
      <c r="H54" s="1775"/>
      <c r="I54" s="1775"/>
      <c r="J54" s="1775"/>
      <c r="K54" s="1775"/>
      <c r="L54" s="1775"/>
      <c r="M54" s="1775"/>
      <c r="N54" s="316">
        <f>SUM(M41:M52)</f>
        <v>0</v>
      </c>
    </row>
    <row r="55" spans="2:19" s="9" customFormat="1" ht="10.5" customHeight="1" x14ac:dyDescent="0.2">
      <c r="B55" s="196"/>
      <c r="C55" s="196"/>
      <c r="D55" s="196"/>
      <c r="E55" s="196"/>
      <c r="F55" s="196"/>
      <c r="G55" s="196"/>
      <c r="H55" s="196"/>
      <c r="I55" s="196"/>
      <c r="J55" s="196"/>
      <c r="K55" s="196"/>
      <c r="L55" s="196"/>
      <c r="M55" s="196"/>
      <c r="N55" s="196"/>
    </row>
    <row r="56" spans="2:19" s="9" customFormat="1" ht="17.25" customHeight="1" x14ac:dyDescent="0.2">
      <c r="B56" s="1776" t="str">
        <f>IF(P1=2,"1900  - Total de l'actif (Lignes 1100 + 1300 + 1800):","1900 - Total Assets (Line 1100 + 1300 + 1800)")</f>
        <v>1900 - Total Assets (Line 1100 + 1300 + 1800)</v>
      </c>
      <c r="C56" s="1776"/>
      <c r="D56" s="1776"/>
      <c r="E56" s="1776"/>
      <c r="F56" s="1776"/>
      <c r="G56" s="1776"/>
      <c r="H56" s="1776"/>
      <c r="I56" s="1776"/>
      <c r="J56" s="1776"/>
      <c r="K56" s="1776"/>
      <c r="L56" s="1776"/>
      <c r="M56" s="1776"/>
      <c r="N56" s="337">
        <f>N26+N37+N54</f>
        <v>0</v>
      </c>
      <c r="O56" s="338"/>
      <c r="P56" s="1777" t="str">
        <f>IF(P1=2,"Lignes 1900 et 3700 doivent être égales","Lines 1900 and 3700 must be equal")</f>
        <v>Lines 1900 and 3700 must be equal</v>
      </c>
      <c r="Q56" s="339">
        <f>+N56</f>
        <v>0</v>
      </c>
      <c r="S56" s="340"/>
    </row>
    <row r="57" spans="2:19" s="9" customFormat="1" ht="15" customHeight="1" x14ac:dyDescent="0.25">
      <c r="B57" s="323"/>
      <c r="N57" s="371" t="s">
        <v>459</v>
      </c>
      <c r="P57" s="1777"/>
    </row>
    <row r="58" spans="2:19" s="341" customFormat="1" ht="15" customHeight="1" x14ac:dyDescent="0.2">
      <c r="B58" s="1766" t="str">
        <f>IF(P1=2,"PASSIF","LIABILITIES")</f>
        <v>LIABILITIES</v>
      </c>
      <c r="C58" s="1766"/>
      <c r="D58" s="1766"/>
      <c r="E58" s="1766"/>
      <c r="F58" s="1766"/>
      <c r="G58" s="1766"/>
      <c r="H58" s="1766"/>
      <c r="I58" s="1766"/>
      <c r="J58" s="1766"/>
      <c r="K58" s="1766"/>
      <c r="L58" s="1766"/>
      <c r="M58" s="1766"/>
      <c r="N58" s="1766"/>
      <c r="P58" s="1777"/>
    </row>
    <row r="59" spans="2:19" s="9" customFormat="1" ht="15.75" x14ac:dyDescent="0.2">
      <c r="B59" s="326"/>
      <c r="C59" s="1778" t="str">
        <f>IF(P1=2,"2000 - Passifs à court-terme:","2000 - Current Liabilities:")</f>
        <v>2000 - Current Liabilities:</v>
      </c>
      <c r="D59" s="1778"/>
      <c r="E59" s="1778"/>
      <c r="F59" s="1778"/>
      <c r="G59" s="1778"/>
      <c r="H59" s="1778"/>
      <c r="I59" s="1778"/>
      <c r="J59" s="1778"/>
      <c r="K59" s="1778"/>
      <c r="L59" s="226" t="str">
        <f>IF(P1=2,"L'an passé","Last year")</f>
        <v>Last year</v>
      </c>
      <c r="M59" s="226" t="str">
        <f>IF(P1=2,"Cette année","Current year")</f>
        <v>Current year</v>
      </c>
      <c r="N59" s="1779"/>
      <c r="P59" s="1777"/>
    </row>
    <row r="60" spans="2:19" s="12" customFormat="1" ht="16.5" customHeight="1" x14ac:dyDescent="0.2">
      <c r="B60" s="342"/>
      <c r="C60" s="1768">
        <v>4</v>
      </c>
      <c r="D60" s="241" t="s">
        <v>36</v>
      </c>
      <c r="E60" s="246" t="str">
        <f>LEFT('Set up ~ Config'!F76,4)</f>
        <v>2010</v>
      </c>
      <c r="F60" s="1737" t="str">
        <f>'Set up ~ Config'!G76</f>
        <v>Credit Card</v>
      </c>
      <c r="G60" s="1737"/>
      <c r="H60" s="1737"/>
      <c r="I60" s="1737"/>
      <c r="J60" s="1737"/>
      <c r="K60" s="1737"/>
      <c r="L60" s="304">
        <f>Reconciliation!$G374</f>
        <v>0</v>
      </c>
      <c r="M60" s="301">
        <f>Reconciliation!$G379</f>
        <v>0</v>
      </c>
      <c r="N60" s="1779"/>
      <c r="P60" s="1777"/>
    </row>
    <row r="61" spans="2:19" s="12" customFormat="1" ht="16.5" customHeight="1" x14ac:dyDescent="0.2">
      <c r="B61" s="303"/>
      <c r="C61" s="1768"/>
      <c r="D61" s="241" t="s">
        <v>37</v>
      </c>
      <c r="E61" s="246" t="str">
        <f>LEFT('Set up ~ Config'!F77,4)</f>
        <v>2020</v>
      </c>
      <c r="F61" s="1737" t="str">
        <f>'Set up ~ Config'!G77</f>
        <v>Payables - Short Terms</v>
      </c>
      <c r="G61" s="1737"/>
      <c r="H61" s="1737"/>
      <c r="I61" s="1737"/>
      <c r="J61" s="1737"/>
      <c r="K61" s="1737"/>
      <c r="L61" s="304">
        <f>Reconciliation!$G387</f>
        <v>0</v>
      </c>
      <c r="M61" s="301">
        <f>Reconciliation!$G392</f>
        <v>0</v>
      </c>
      <c r="N61" s="1779"/>
      <c r="P61" s="1777"/>
    </row>
    <row r="62" spans="2:19" s="12" customFormat="1" ht="16.5" customHeight="1" x14ac:dyDescent="0.2">
      <c r="B62" s="303"/>
      <c r="C62" s="1768"/>
      <c r="D62" s="241" t="s">
        <v>150</v>
      </c>
      <c r="E62" s="246" t="str">
        <f>LEFT('Set up ~ Config'!F78,4)</f>
        <v>2030</v>
      </c>
      <c r="F62" s="1726" t="str">
        <f>IF('Set up ~ Config'!$G78="Disponible ~ Available",IF($P$1=2,"Disponible","Available"),'Set up ~ Config'!$G78)</f>
        <v>Available</v>
      </c>
      <c r="G62" s="1726"/>
      <c r="H62" s="1726"/>
      <c r="I62" s="1726"/>
      <c r="J62" s="1726"/>
      <c r="K62" s="1726"/>
      <c r="L62" s="304">
        <f>Reconciliation!$G400</f>
        <v>0</v>
      </c>
      <c r="M62" s="301">
        <f>Reconciliation!$G405</f>
        <v>0</v>
      </c>
      <c r="N62" s="1779"/>
      <c r="P62" s="1777"/>
    </row>
    <row r="63" spans="2:19" s="12" customFormat="1" ht="16.5" customHeight="1" x14ac:dyDescent="0.2">
      <c r="B63" s="303"/>
      <c r="C63" s="1768"/>
      <c r="D63" s="241" t="s">
        <v>151</v>
      </c>
      <c r="E63" s="246" t="str">
        <f>LEFT('Set up ~ Config'!F79,4)</f>
        <v>2040</v>
      </c>
      <c r="F63" s="1726" t="str">
        <f>IF('Set up ~ Config'!$G79="Disponible ~ Available",IF($P$1=2,"Disponible","Available"),'Set up ~ Config'!$G79)</f>
        <v>Available</v>
      </c>
      <c r="G63" s="1726"/>
      <c r="H63" s="1726"/>
      <c r="I63" s="1726"/>
      <c r="J63" s="1726"/>
      <c r="K63" s="1726"/>
      <c r="L63" s="304">
        <f>Reconciliation!$G413</f>
        <v>0</v>
      </c>
      <c r="M63" s="301">
        <f>Reconciliation!$G418</f>
        <v>0</v>
      </c>
      <c r="N63" s="1779"/>
      <c r="P63" s="1777"/>
    </row>
    <row r="64" spans="2:19" s="12" customFormat="1" ht="16.5" customHeight="1" x14ac:dyDescent="0.2">
      <c r="B64" s="303"/>
      <c r="C64" s="1768"/>
      <c r="D64" s="241" t="s">
        <v>152</v>
      </c>
      <c r="E64" s="246" t="str">
        <f>LEFT('Set up ~ Config'!F80,4)</f>
        <v>2050</v>
      </c>
      <c r="F64" s="1726" t="str">
        <f>IF('Set up ~ Config'!$G80="Disponible ~ Available",IF($P$1=2,"Disponible","Available"),'Set up ~ Config'!$G80)</f>
        <v>Available</v>
      </c>
      <c r="G64" s="1726"/>
      <c r="H64" s="1726"/>
      <c r="I64" s="1726"/>
      <c r="J64" s="1726"/>
      <c r="K64" s="1726"/>
      <c r="L64" s="304">
        <f>Reconciliation!$G426</f>
        <v>0</v>
      </c>
      <c r="M64" s="301">
        <f>Reconciliation!$G431</f>
        <v>0</v>
      </c>
      <c r="N64" s="1779"/>
      <c r="P64" s="1777"/>
    </row>
    <row r="65" spans="2:20" s="12" customFormat="1" ht="16.5" customHeight="1" x14ac:dyDescent="0.2">
      <c r="B65" s="303"/>
      <c r="C65" s="1768"/>
      <c r="D65" s="241" t="s">
        <v>153</v>
      </c>
      <c r="E65" s="246" t="str">
        <f>LEFT('Set up ~ Config'!F81,4)</f>
        <v>2060</v>
      </c>
      <c r="F65" s="1726" t="str">
        <f>IF('Set up ~ Config'!$G81="Disponible ~ Available",IF($P$1=2,"Disponible","Available"),'Set up ~ Config'!$G81)</f>
        <v>Available</v>
      </c>
      <c r="G65" s="1726"/>
      <c r="H65" s="1726"/>
      <c r="I65" s="1726"/>
      <c r="J65" s="1726"/>
      <c r="K65" s="1726"/>
      <c r="L65" s="304">
        <f>Reconciliation!$G439</f>
        <v>0</v>
      </c>
      <c r="M65" s="301">
        <f>Reconciliation!$G444</f>
        <v>0</v>
      </c>
      <c r="N65" s="1779"/>
      <c r="P65" s="1777"/>
    </row>
    <row r="66" spans="2:20" s="12" customFormat="1" ht="16.5" customHeight="1" x14ac:dyDescent="0.2">
      <c r="B66" s="303"/>
      <c r="C66" s="1768"/>
      <c r="D66" s="241" t="s">
        <v>154</v>
      </c>
      <c r="E66" s="246" t="str">
        <f>LEFT('Set up ~ Config'!F82,4)</f>
        <v>2070</v>
      </c>
      <c r="F66" s="1726" t="str">
        <f>IF('Set up ~ Config'!$G82="Disponible ~ Available",IF($P$1=2,"Disponible","Available"),'Set up ~ Config'!$G82)</f>
        <v>Available</v>
      </c>
      <c r="G66" s="1726"/>
      <c r="H66" s="1726"/>
      <c r="I66" s="1726"/>
      <c r="J66" s="1726"/>
      <c r="K66" s="1726"/>
      <c r="L66" s="304">
        <f>Reconciliation!$G452</f>
        <v>0</v>
      </c>
      <c r="M66" s="301">
        <f>Reconciliation!$G457</f>
        <v>0</v>
      </c>
      <c r="N66" s="1779"/>
      <c r="P66" s="1777"/>
    </row>
    <row r="67" spans="2:20" s="12" customFormat="1" ht="16.5" customHeight="1" x14ac:dyDescent="0.2">
      <c r="B67" s="303"/>
      <c r="C67" s="1768"/>
      <c r="D67" s="241" t="s">
        <v>155</v>
      </c>
      <c r="E67" s="246" t="str">
        <f>LEFT('Set up ~ Config'!F83,4)</f>
        <v>2080</v>
      </c>
      <c r="F67" s="1726" t="str">
        <f>IF('Set up ~ Config'!$G83="Disponible ~ Available",IF($P$1=2,"Disponible","Available"),'Set up ~ Config'!$G83)</f>
        <v>Available</v>
      </c>
      <c r="G67" s="1726"/>
      <c r="H67" s="1726"/>
      <c r="I67" s="1726"/>
      <c r="J67" s="1726"/>
      <c r="K67" s="1726"/>
      <c r="L67" s="304">
        <f>Reconciliation!$G465</f>
        <v>0</v>
      </c>
      <c r="M67" s="301">
        <f>Reconciliation!$G470</f>
        <v>0</v>
      </c>
      <c r="N67" s="1779"/>
      <c r="P67" s="1777"/>
    </row>
    <row r="68" spans="2:20" s="12" customFormat="1" ht="16.5" customHeight="1" x14ac:dyDescent="0.2">
      <c r="B68" s="303"/>
      <c r="C68" s="1768"/>
      <c r="D68" s="241" t="s">
        <v>156</v>
      </c>
      <c r="E68" s="246" t="str">
        <f>LEFT('Set up ~ Config'!F84,4)</f>
        <v>2090</v>
      </c>
      <c r="F68" s="1726" t="str">
        <f>IF('Set up ~ Config'!$G84="Disponible ~ Available",IF($P$1=2,"Disponible","Available"),'Set up ~ Config'!$G84)</f>
        <v>Available</v>
      </c>
      <c r="G68" s="1726"/>
      <c r="H68" s="1726"/>
      <c r="I68" s="1726"/>
      <c r="J68" s="1726"/>
      <c r="K68" s="1726"/>
      <c r="L68" s="304">
        <f>Reconciliation!$G478</f>
        <v>0</v>
      </c>
      <c r="M68" s="301">
        <f>Reconciliation!$G483</f>
        <v>0</v>
      </c>
      <c r="N68" s="1779"/>
      <c r="P68" s="1777"/>
    </row>
    <row r="69" spans="2:20" s="12" customFormat="1" ht="16.5" customHeight="1" x14ac:dyDescent="0.2">
      <c r="B69" s="344"/>
      <c r="C69" s="345"/>
      <c r="D69" s="346"/>
      <c r="E69" s="347">
        <v>2100</v>
      </c>
      <c r="F69" s="1780" t="str">
        <f>IF(P1=2,"Total du Passif à court-terme:","Total Current Liabilities:")</f>
        <v>Total Current Liabilities:</v>
      </c>
      <c r="G69" s="1780"/>
      <c r="H69" s="1780"/>
      <c r="I69" s="1780"/>
      <c r="J69" s="1780"/>
      <c r="K69" s="1780"/>
      <c r="L69" s="1780"/>
      <c r="M69" s="1780"/>
      <c r="N69" s="316">
        <f>SUM(M60:M68)</f>
        <v>0</v>
      </c>
      <c r="P69" s="1777"/>
    </row>
    <row r="70" spans="2:20" s="12" customFormat="1" ht="14.25" customHeight="1" x14ac:dyDescent="0.2">
      <c r="B70" s="348"/>
      <c r="C70" s="1767" t="str">
        <f>IF(P1=2,"2200 - Passifs à long-terme:","2200 - Long-Term Debts:")</f>
        <v>2200 - Long-Term Debts:</v>
      </c>
      <c r="D70" s="1767"/>
      <c r="E70" s="1767"/>
      <c r="F70" s="1767"/>
      <c r="G70" s="1767"/>
      <c r="H70" s="1767"/>
      <c r="I70" s="1767"/>
      <c r="J70" s="1767"/>
      <c r="K70" s="1767"/>
      <c r="L70" s="226" t="str">
        <f>IF(P1=2,"L'an passé","Last year")</f>
        <v>Last year</v>
      </c>
      <c r="M70" s="226" t="str">
        <f>IF(P1=2,"Cette année","Current year")</f>
        <v>Current year</v>
      </c>
      <c r="N70" s="349"/>
      <c r="P70" s="1777"/>
    </row>
    <row r="71" spans="2:20" s="12" customFormat="1" ht="16.5" customHeight="1" x14ac:dyDescent="0.2">
      <c r="B71" s="299"/>
      <c r="C71" s="1768">
        <v>5</v>
      </c>
      <c r="D71" s="350" t="s">
        <v>36</v>
      </c>
      <c r="E71" s="242" t="str">
        <f>LEFT('Set up ~ Config'!F86,4)</f>
        <v>2210</v>
      </c>
      <c r="F71" s="1781" t="str">
        <f>'Set up ~ Config'!G86</f>
        <v>Mortgage</v>
      </c>
      <c r="G71" s="1781"/>
      <c r="H71" s="1781"/>
      <c r="I71" s="1781"/>
      <c r="J71" s="1781"/>
      <c r="K71" s="1781"/>
      <c r="L71" s="304">
        <f>Reconciliation!$G491</f>
        <v>0</v>
      </c>
      <c r="M71" s="351">
        <f>Reconciliation!$G496</f>
        <v>0</v>
      </c>
      <c r="N71" s="1782"/>
      <c r="P71" s="1777"/>
    </row>
    <row r="72" spans="2:20" s="12" customFormat="1" ht="16.5" customHeight="1" x14ac:dyDescent="0.2">
      <c r="B72" s="303"/>
      <c r="C72" s="1768"/>
      <c r="D72" s="350" t="s">
        <v>36</v>
      </c>
      <c r="E72" s="242" t="str">
        <f>LEFT('Set up ~ Config'!F87,4)</f>
        <v>2220</v>
      </c>
      <c r="F72" s="1781" t="str">
        <f>'Set up ~ Config'!G87</f>
        <v>Bank Loan</v>
      </c>
      <c r="G72" s="1781"/>
      <c r="H72" s="1781"/>
      <c r="I72" s="1781"/>
      <c r="J72" s="1781"/>
      <c r="K72" s="1781"/>
      <c r="L72" s="304">
        <f>Reconciliation!$G504</f>
        <v>0</v>
      </c>
      <c r="M72" s="351">
        <f>Reconciliation!$G509</f>
        <v>0</v>
      </c>
      <c r="N72" s="1782"/>
      <c r="P72" s="1777"/>
    </row>
    <row r="73" spans="2:20" s="12" customFormat="1" ht="16.5" customHeight="1" x14ac:dyDescent="0.2">
      <c r="B73" s="303"/>
      <c r="C73" s="1768"/>
      <c r="D73" s="350" t="s">
        <v>36</v>
      </c>
      <c r="E73" s="242" t="str">
        <f>LEFT('Set up ~ Config'!F88,4)</f>
        <v>2230</v>
      </c>
      <c r="F73" s="1726" t="str">
        <f>IF('Set up ~ Config'!$G88="Disponible ~ Available",IF($P$1=2,"Disponible","Available"),'Set up ~ Config'!$G88)</f>
        <v>Available</v>
      </c>
      <c r="G73" s="1726"/>
      <c r="H73" s="1726"/>
      <c r="I73" s="1726"/>
      <c r="J73" s="1726"/>
      <c r="K73" s="1726"/>
      <c r="L73" s="304">
        <f>Reconciliation!$G517</f>
        <v>0</v>
      </c>
      <c r="M73" s="351">
        <f>Reconciliation!$G522</f>
        <v>0</v>
      </c>
      <c r="N73" s="1782"/>
      <c r="P73" s="1777"/>
    </row>
    <row r="74" spans="2:20" s="12" customFormat="1" ht="16.5" customHeight="1" x14ac:dyDescent="0.2">
      <c r="B74" s="303"/>
      <c r="C74" s="1768"/>
      <c r="D74" s="350" t="s">
        <v>36</v>
      </c>
      <c r="E74" s="242" t="str">
        <f>LEFT('Set up ~ Config'!F89,4)</f>
        <v>2240</v>
      </c>
      <c r="F74" s="1726" t="str">
        <f>IF('Set up ~ Config'!$G89="Disponible ~ Available",IF($P$1=2,"Disponible","Available"),'Set up ~ Config'!$G89)</f>
        <v>Available</v>
      </c>
      <c r="G74" s="1726"/>
      <c r="H74" s="1726"/>
      <c r="I74" s="1726"/>
      <c r="J74" s="1726"/>
      <c r="K74" s="1726"/>
      <c r="L74" s="304">
        <f>Reconciliation!$G530</f>
        <v>0</v>
      </c>
      <c r="M74" s="351">
        <f>Reconciliation!$G535</f>
        <v>0</v>
      </c>
      <c r="N74" s="1782"/>
      <c r="P74" s="1777"/>
    </row>
    <row r="75" spans="2:20" s="12" customFormat="1" ht="16.5" customHeight="1" x14ac:dyDescent="0.2">
      <c r="B75" s="303"/>
      <c r="C75" s="1768"/>
      <c r="D75" s="350" t="s">
        <v>36</v>
      </c>
      <c r="E75" s="242" t="str">
        <f>LEFT('Set up ~ Config'!F90,4)</f>
        <v>2250</v>
      </c>
      <c r="F75" s="1726" t="str">
        <f>IF('Set up ~ Config'!$G90="Disponible ~ Available",IF($P$1=2,"Disponible","Available"),'Set up ~ Config'!$G90)</f>
        <v>Available</v>
      </c>
      <c r="G75" s="1726"/>
      <c r="H75" s="1726"/>
      <c r="I75" s="1726"/>
      <c r="J75" s="1726"/>
      <c r="K75" s="1726"/>
      <c r="L75" s="304">
        <f>Reconciliation!$G543</f>
        <v>0</v>
      </c>
      <c r="M75" s="351">
        <f>Reconciliation!$G548</f>
        <v>0</v>
      </c>
      <c r="N75" s="1782"/>
      <c r="P75" s="1777"/>
    </row>
    <row r="76" spans="2:20" s="12" customFormat="1" ht="16.5" customHeight="1" x14ac:dyDescent="0.2">
      <c r="B76" s="303"/>
      <c r="C76" s="1768"/>
      <c r="D76" s="350" t="s">
        <v>36</v>
      </c>
      <c r="E76" s="242" t="str">
        <f>LEFT('Set up ~ Config'!F91,4)</f>
        <v>2260</v>
      </c>
      <c r="F76" s="1726" t="str">
        <f>IF('Set up ~ Config'!$G91="Disponible ~ Available",IF($P$1=2,"Disponible","Available"),'Set up ~ Config'!$G91)</f>
        <v>Available</v>
      </c>
      <c r="G76" s="1726"/>
      <c r="H76" s="1726"/>
      <c r="I76" s="1726"/>
      <c r="J76" s="1726"/>
      <c r="K76" s="1726"/>
      <c r="L76" s="304">
        <f>Reconciliation!$G556</f>
        <v>0</v>
      </c>
      <c r="M76" s="351">
        <f>Reconciliation!$G561</f>
        <v>0</v>
      </c>
      <c r="N76" s="1782"/>
      <c r="P76" s="1777"/>
    </row>
    <row r="77" spans="2:20" s="12" customFormat="1" ht="16.5" customHeight="1" x14ac:dyDescent="0.2">
      <c r="B77" s="303"/>
      <c r="C77" s="1768"/>
      <c r="D77" s="350" t="s">
        <v>36</v>
      </c>
      <c r="E77" s="242" t="str">
        <f>LEFT('Set up ~ Config'!F92,4)</f>
        <v>2270</v>
      </c>
      <c r="F77" s="1726" t="str">
        <f>IF('Set up ~ Config'!$G92="Disponible ~ Available",IF($P$1=2,"Disponible","Available"),'Set up ~ Config'!$G92)</f>
        <v>Available</v>
      </c>
      <c r="G77" s="1726"/>
      <c r="H77" s="1726"/>
      <c r="I77" s="1726"/>
      <c r="J77" s="1726"/>
      <c r="K77" s="1726"/>
      <c r="L77" s="304">
        <f>Reconciliation!$G569</f>
        <v>0</v>
      </c>
      <c r="M77" s="351">
        <f>Reconciliation!$G574</f>
        <v>0</v>
      </c>
      <c r="N77" s="1782"/>
      <c r="P77" s="1777"/>
    </row>
    <row r="78" spans="2:20" s="12" customFormat="1" ht="16.5" customHeight="1" x14ac:dyDescent="0.2">
      <c r="B78" s="303"/>
      <c r="C78" s="1768"/>
      <c r="D78" s="352" t="s">
        <v>37</v>
      </c>
      <c r="E78" s="242" t="str">
        <f>LEFT('Set up ~ Config'!F93,4)</f>
        <v>2280</v>
      </c>
      <c r="F78" s="1726" t="str">
        <f>IF('Set up ~ Config'!$G93="Disponible ~ Available",IF($P$1=2,"Disponible","Available"),'Set up ~ Config'!$G93)</f>
        <v>Available</v>
      </c>
      <c r="G78" s="1726"/>
      <c r="H78" s="1726"/>
      <c r="I78" s="1726"/>
      <c r="J78" s="1726"/>
      <c r="K78" s="1726"/>
      <c r="L78" s="304">
        <f>Reconciliation!$G582</f>
        <v>0</v>
      </c>
      <c r="M78" s="351">
        <f>Reconciliation!$G587</f>
        <v>0</v>
      </c>
      <c r="N78" s="1782"/>
      <c r="P78" s="1777"/>
      <c r="Q78" s="1783" t="str">
        <f>IF($P$1=2,"Différence","Difference")</f>
        <v>Difference</v>
      </c>
      <c r="R78" s="1784" t="str">
        <f>IF($P$1=2,IF($Q$80=0,"&lt;--- L'ACC9 est équilibré","&lt;--- L'ACC9 n'est pas équilibré"),IF($Q$80=0,"&lt;--- ACC9 is balanced","&lt;--- ACC9 is not balanced"))</f>
        <v>&lt;--- ACC9 is balanced</v>
      </c>
      <c r="S78" s="1784"/>
      <c r="T78" s="1784"/>
    </row>
    <row r="79" spans="2:20" s="12" customFormat="1" ht="16.5" customHeight="1" x14ac:dyDescent="0.2">
      <c r="B79" s="343"/>
      <c r="C79" s="1768"/>
      <c r="D79" s="352" t="s">
        <v>150</v>
      </c>
      <c r="E79" s="242" t="str">
        <f>LEFT('Set up ~ Config'!F94,4)</f>
        <v>2290</v>
      </c>
      <c r="F79" s="1726" t="str">
        <f>IF('Set up ~ Config'!$G94="Disponible ~ Available",IF($P$1=2,"Disponible","Available"),'Set up ~ Config'!$G94)</f>
        <v>Available</v>
      </c>
      <c r="G79" s="1726"/>
      <c r="H79" s="1726"/>
      <c r="I79" s="1726"/>
      <c r="J79" s="1726"/>
      <c r="K79" s="1726"/>
      <c r="L79" s="304">
        <f>Reconciliation!$G595</f>
        <v>0</v>
      </c>
      <c r="M79" s="351">
        <f>Reconciliation!$G600</f>
        <v>0</v>
      </c>
      <c r="N79" s="1782"/>
      <c r="P79" s="1777"/>
      <c r="Q79" s="1783"/>
      <c r="R79" s="1784"/>
      <c r="S79" s="1784"/>
      <c r="T79" s="1784"/>
    </row>
    <row r="80" spans="2:20" s="12" customFormat="1" ht="16.5" customHeight="1" x14ac:dyDescent="0.2">
      <c r="B80" s="25"/>
      <c r="D80" s="241"/>
      <c r="E80" s="313">
        <v>2300</v>
      </c>
      <c r="F80" s="1785" t="str">
        <f>IF(P1=2,"Total du Passif à long-terme:","Total Long-Term Debts:")</f>
        <v>Total Long-Term Debts:</v>
      </c>
      <c r="G80" s="1785"/>
      <c r="H80" s="1785"/>
      <c r="I80" s="1785"/>
      <c r="J80" s="1785"/>
      <c r="K80" s="1785"/>
      <c r="L80" s="1785"/>
      <c r="M80" s="1785"/>
      <c r="N80" s="316">
        <f>+SUM(M71:M79)</f>
        <v>0</v>
      </c>
      <c r="P80" s="1777"/>
      <c r="Q80" s="1786">
        <f>+Q56-Q91</f>
        <v>0</v>
      </c>
      <c r="R80" s="1784"/>
      <c r="S80" s="1784"/>
      <c r="T80" s="1784"/>
    </row>
    <row r="81" spans="2:35" s="12" customFormat="1" ht="17.25" customHeight="1" x14ac:dyDescent="0.2">
      <c r="B81" s="1787" t="str">
        <f>IF(P1=2,"2400 - Total du passif","2400 - Total Liabilities")</f>
        <v>2400 - Total Liabilities</v>
      </c>
      <c r="C81" s="1787"/>
      <c r="D81" s="1787"/>
      <c r="E81" s="1787"/>
      <c r="F81" s="1787"/>
      <c r="G81" s="1787"/>
      <c r="H81" s="1787"/>
      <c r="I81" s="1787"/>
      <c r="J81" s="1787"/>
      <c r="K81" s="1787"/>
      <c r="L81" s="1787"/>
      <c r="M81" s="1787"/>
      <c r="N81" s="269">
        <f>N80+N69</f>
        <v>0</v>
      </c>
      <c r="P81" s="1777"/>
      <c r="Q81" s="1786"/>
      <c r="R81" s="1784"/>
      <c r="S81" s="1784"/>
      <c r="T81" s="1784"/>
      <c r="U81" s="188"/>
      <c r="W81" s="191">
        <f>'Set up ~ Config'!I20</f>
        <v>0</v>
      </c>
    </row>
    <row r="82" spans="2:35" s="12" customFormat="1" ht="15" customHeight="1" x14ac:dyDescent="0.2">
      <c r="B82" s="353"/>
      <c r="C82" s="353"/>
      <c r="D82" s="353"/>
      <c r="E82" s="353"/>
      <c r="F82" s="353"/>
      <c r="G82" s="353"/>
      <c r="H82" s="353"/>
      <c r="I82" s="353"/>
      <c r="J82" s="353"/>
      <c r="K82" s="353"/>
      <c r="L82" s="353"/>
      <c r="M82" s="353"/>
      <c r="N82" s="354"/>
      <c r="P82" s="1777"/>
      <c r="R82" s="1788"/>
      <c r="S82" s="1788"/>
      <c r="T82" s="1788"/>
    </row>
    <row r="83" spans="2:35" s="7" customFormat="1" ht="15" customHeight="1" x14ac:dyDescent="0.2">
      <c r="B83" s="1766" t="str">
        <f>IF(P1=2,"AVOIR","EQUITY")</f>
        <v>EQUITY</v>
      </c>
      <c r="C83" s="1766"/>
      <c r="D83" s="1766"/>
      <c r="E83" s="1766"/>
      <c r="F83" s="1766"/>
      <c r="G83" s="1766"/>
      <c r="H83" s="1766"/>
      <c r="I83" s="1766"/>
      <c r="J83" s="1766"/>
      <c r="K83" s="1766"/>
      <c r="L83" s="1766"/>
      <c r="M83" s="1766"/>
      <c r="N83" s="1766"/>
      <c r="P83" s="1777"/>
      <c r="R83" s="1788"/>
      <c r="S83" s="1788"/>
      <c r="T83" s="1788"/>
    </row>
    <row r="84" spans="2:35" s="9" customFormat="1" ht="17.25" customHeight="1" x14ac:dyDescent="0.2">
      <c r="B84" s="355"/>
      <c r="C84" s="1767" t="str">
        <f>IF(P1=2,"3000 - Avoir","3000 - Equity")</f>
        <v>3000 - Equity</v>
      </c>
      <c r="D84" s="1767"/>
      <c r="E84" s="1767"/>
      <c r="F84" s="1767"/>
      <c r="G84" s="1767"/>
      <c r="H84" s="1767"/>
      <c r="I84" s="1767"/>
      <c r="J84" s="1767"/>
      <c r="K84" s="1767"/>
      <c r="L84" s="226" t="str">
        <f>IF(P1=2,"L'an passé","Last year")</f>
        <v>Last year</v>
      </c>
      <c r="M84" s="226" t="str">
        <f>IF(P1=2,"Cette année","Current year")</f>
        <v>Current year</v>
      </c>
      <c r="N84" s="188"/>
      <c r="P84" s="1777"/>
      <c r="R84" s="1788"/>
      <c r="S84" s="1788"/>
      <c r="T84" s="1788"/>
      <c r="W84" s="1789" t="str">
        <f>IF(P1="EN",W93&amp;" "&amp;'Set up ~ Config'!G20&amp;" "&amp;W94&amp;" "&amp;W91&amp;" ","")</f>
        <v/>
      </c>
      <c r="X84" s="1789"/>
      <c r="Y84" s="1789"/>
      <c r="Z84" s="1789"/>
      <c r="AA84" s="1789"/>
      <c r="AB84" s="1789"/>
      <c r="AC84" s="1789"/>
      <c r="AD84" s="1789"/>
      <c r="AE84" s="1789"/>
      <c r="AF84" s="1789"/>
      <c r="AG84" s="1789"/>
      <c r="AH84" s="1789"/>
      <c r="AI84" s="1789"/>
    </row>
    <row r="85" spans="2:35" s="9" customFormat="1" ht="22.5" customHeight="1" x14ac:dyDescent="0.2">
      <c r="B85" s="356"/>
      <c r="C85" s="1699">
        <v>6</v>
      </c>
      <c r="D85" s="241" t="s">
        <v>36</v>
      </c>
      <c r="E85" s="246">
        <v>3100</v>
      </c>
      <c r="F85" s="1724" t="str">
        <f>IF(P1=2,"Gains non répartis","Retained Earnings")</f>
        <v>Retained Earnings</v>
      </c>
      <c r="G85" s="1724"/>
      <c r="H85" s="1724"/>
      <c r="I85" s="1724"/>
      <c r="J85" s="1724"/>
      <c r="K85" s="1724"/>
      <c r="L85" s="357">
        <f>'Set up ~ Config'!G99</f>
        <v>0</v>
      </c>
      <c r="M85" s="358">
        <f>+L88</f>
        <v>0</v>
      </c>
      <c r="N85" s="1790"/>
      <c r="P85" s="1777"/>
      <c r="R85" s="1788"/>
      <c r="S85" s="1788"/>
      <c r="T85" s="1788"/>
      <c r="W85" s="1789"/>
      <c r="X85" s="1789"/>
      <c r="Y85" s="1789"/>
      <c r="Z85" s="1789"/>
      <c r="AA85" s="1789"/>
      <c r="AB85" s="1789"/>
      <c r="AC85" s="1789"/>
      <c r="AD85" s="1789"/>
      <c r="AE85" s="1789"/>
      <c r="AF85" s="1789"/>
      <c r="AG85" s="1789"/>
      <c r="AH85" s="1789"/>
      <c r="AI85" s="1789"/>
    </row>
    <row r="86" spans="2:35" s="9" customFormat="1" ht="22.5" customHeight="1" x14ac:dyDescent="0.2">
      <c r="B86" s="360"/>
      <c r="C86" s="1699"/>
      <c r="D86" s="241" t="s">
        <v>37</v>
      </c>
      <c r="E86" s="246">
        <v>3110</v>
      </c>
      <c r="F86" s="1791" t="str">
        <f>IF(P1=2,"Surplus nets / (Déficit net)","Net Surplus / Net Deficit)")</f>
        <v>Net Surplus / Net Deficit)</v>
      </c>
      <c r="G86" s="1791"/>
      <c r="H86" s="1791"/>
      <c r="I86" s="1791"/>
      <c r="J86" s="1791"/>
      <c r="K86" s="1791"/>
      <c r="L86" s="361">
        <f>'Set up ~ Config'!G100</f>
        <v>0</v>
      </c>
      <c r="M86" s="358">
        <f>+'ACC9 (Pages 4-5-6) Exp~Dép'!K120</f>
        <v>0</v>
      </c>
      <c r="N86" s="1790"/>
      <c r="P86" s="1777"/>
      <c r="R86" s="1788"/>
      <c r="S86" s="1788"/>
      <c r="T86" s="1788"/>
      <c r="W86" s="1789"/>
      <c r="X86" s="1789"/>
      <c r="Y86" s="1789"/>
      <c r="Z86" s="1789"/>
      <c r="AA86" s="1789"/>
      <c r="AB86" s="1789"/>
      <c r="AC86" s="1789"/>
      <c r="AD86" s="1789"/>
      <c r="AE86" s="1789"/>
      <c r="AF86" s="1789"/>
      <c r="AG86" s="1789"/>
      <c r="AH86" s="1789"/>
      <c r="AI86" s="1789"/>
    </row>
    <row r="87" spans="2:35" s="9" customFormat="1" ht="22.5" customHeight="1" x14ac:dyDescent="0.2">
      <c r="B87" s="362"/>
      <c r="C87" s="1699"/>
      <c r="D87" s="241" t="s">
        <v>150</v>
      </c>
      <c r="E87" s="246" t="s">
        <v>160</v>
      </c>
      <c r="F87" s="1792" t="str">
        <f>IF(P1=2,"Ajustement","Adjustment")</f>
        <v>Adjustment</v>
      </c>
      <c r="G87" s="1792"/>
      <c r="H87" s="1792"/>
      <c r="I87" s="1792"/>
      <c r="J87" s="1792"/>
      <c r="K87" s="1792"/>
      <c r="L87" s="363">
        <f>'Set up ~ Config'!G102</f>
        <v>0</v>
      </c>
      <c r="M87" s="364"/>
      <c r="N87" s="359"/>
      <c r="P87" s="1777"/>
      <c r="R87" s="1788"/>
      <c r="S87" s="1788"/>
      <c r="T87" s="1788"/>
      <c r="W87" s="1789"/>
      <c r="X87" s="1789"/>
      <c r="Y87" s="1789"/>
      <c r="Z87" s="1789"/>
      <c r="AA87" s="1789"/>
      <c r="AB87" s="1789"/>
      <c r="AC87" s="1789"/>
      <c r="AD87" s="1789"/>
      <c r="AE87" s="1789"/>
      <c r="AF87" s="1789"/>
      <c r="AG87" s="1789"/>
      <c r="AH87" s="1789"/>
      <c r="AI87" s="1789"/>
    </row>
    <row r="88" spans="2:35" s="9" customFormat="1" ht="22.5" customHeight="1" x14ac:dyDescent="0.2">
      <c r="B88" s="323"/>
      <c r="C88" s="12"/>
      <c r="D88" s="246"/>
      <c r="E88" s="313">
        <v>3200</v>
      </c>
      <c r="F88" s="1793" t="str">
        <f>IF(P1=2,"Total de l'avoir (3100 + 3110+Ajustement)","Total Equity (3100 + 3110+Adjustment)")</f>
        <v>Total Equity (3100 + 3110+Adjustment)</v>
      </c>
      <c r="G88" s="1793"/>
      <c r="H88" s="1793"/>
      <c r="I88" s="1793"/>
      <c r="J88" s="1793"/>
      <c r="K88" s="1793"/>
      <c r="L88" s="365">
        <f>+SUM(L85:L87)</f>
        <v>0</v>
      </c>
      <c r="M88" s="366">
        <f>SUM(M85:M87)</f>
        <v>0</v>
      </c>
      <c r="N88" s="354"/>
      <c r="P88" s="1777"/>
      <c r="Q88" s="367"/>
      <c r="W88" s="1789"/>
      <c r="X88" s="1789"/>
      <c r="Y88" s="1789"/>
      <c r="Z88" s="1789"/>
      <c r="AA88" s="1789"/>
      <c r="AB88" s="1789"/>
      <c r="AC88" s="1789"/>
      <c r="AD88" s="1789"/>
      <c r="AE88" s="1789"/>
      <c r="AF88" s="1789"/>
      <c r="AG88" s="1789"/>
      <c r="AH88" s="1789"/>
      <c r="AI88" s="1789"/>
    </row>
    <row r="89" spans="2:35" s="9" customFormat="1" ht="15" customHeight="1" x14ac:dyDescent="0.2">
      <c r="B89" s="1787" t="str">
        <f>IF(P1=2,"3400 - Total de l'avoir","3400 - Total Equity")</f>
        <v>3400 - Total Equity</v>
      </c>
      <c r="C89" s="1787"/>
      <c r="D89" s="1787"/>
      <c r="E89" s="1787"/>
      <c r="F89" s="1787"/>
      <c r="G89" s="1787"/>
      <c r="H89" s="1787"/>
      <c r="I89" s="1787"/>
      <c r="J89" s="1787"/>
      <c r="K89" s="1787"/>
      <c r="L89" s="1787"/>
      <c r="M89" s="1787"/>
      <c r="N89" s="269">
        <f>M88</f>
        <v>0</v>
      </c>
      <c r="P89" s="1777"/>
      <c r="W89" s="368"/>
      <c r="X89" s="368"/>
      <c r="Y89" s="368"/>
      <c r="Z89" s="368"/>
      <c r="AA89" s="368"/>
      <c r="AB89" s="368"/>
      <c r="AC89" s="368"/>
      <c r="AD89" s="368"/>
      <c r="AE89" s="368"/>
      <c r="AF89" s="368"/>
      <c r="AG89" s="368"/>
      <c r="AH89" s="368"/>
      <c r="AI89" s="368"/>
    </row>
    <row r="90" spans="2:35" s="9" customFormat="1" ht="14.25" customHeight="1" x14ac:dyDescent="0.2">
      <c r="B90" s="323"/>
      <c r="N90" s="16"/>
      <c r="P90" s="1777"/>
      <c r="W90" s="368"/>
      <c r="X90" s="368"/>
      <c r="Y90" s="368"/>
      <c r="Z90" s="368"/>
      <c r="AA90" s="368"/>
      <c r="AB90" s="368"/>
      <c r="AC90" s="368"/>
      <c r="AD90" s="368"/>
      <c r="AE90" s="368"/>
      <c r="AF90" s="368"/>
      <c r="AG90" s="368"/>
      <c r="AH90" s="368"/>
      <c r="AI90" s="368"/>
    </row>
    <row r="91" spans="2:35" s="9" customFormat="1" ht="17.25" customHeight="1" x14ac:dyDescent="0.2">
      <c r="B91" s="1776" t="str">
        <f>IF(P1=2,"3700 - Total du passif et de l'avoir (Ligne 2400 + 3400)","3700 - Total Liabilities and Equity (Line 2400 + 3400)")</f>
        <v>3700 - Total Liabilities and Equity (Line 2400 + 3400)</v>
      </c>
      <c r="C91" s="1776"/>
      <c r="D91" s="1776"/>
      <c r="E91" s="1776"/>
      <c r="F91" s="1776"/>
      <c r="G91" s="1776"/>
      <c r="H91" s="1776"/>
      <c r="I91" s="1776"/>
      <c r="J91" s="1776"/>
      <c r="K91" s="1776"/>
      <c r="L91" s="1776"/>
      <c r="M91" s="1776"/>
      <c r="N91" s="337">
        <f>N81+N89</f>
        <v>0</v>
      </c>
      <c r="O91" s="338"/>
      <c r="P91" s="1777"/>
      <c r="Q91" s="339">
        <f>+N91</f>
        <v>0</v>
      </c>
      <c r="W91" s="1794" t="s">
        <v>161</v>
      </c>
      <c r="X91" s="1794"/>
      <c r="Y91" s="1794"/>
      <c r="Z91" s="1794"/>
      <c r="AA91" s="1794"/>
      <c r="AB91" s="1794"/>
      <c r="AC91" s="1794"/>
      <c r="AD91" s="1794"/>
      <c r="AE91" s="1794"/>
      <c r="AF91" s="1794"/>
      <c r="AG91" s="1794"/>
      <c r="AH91" s="1794"/>
      <c r="AI91" s="1794"/>
    </row>
    <row r="92" spans="2:35" s="9" customFormat="1" ht="11.25" customHeight="1" x14ac:dyDescent="0.2">
      <c r="B92" s="1795"/>
      <c r="C92" s="1795"/>
      <c r="D92" s="1795"/>
      <c r="E92" s="1795"/>
      <c r="F92" s="1795"/>
      <c r="G92" s="1795"/>
      <c r="H92" s="1795"/>
      <c r="I92" s="1795"/>
      <c r="J92" s="1795"/>
      <c r="K92" s="1795"/>
      <c r="L92" s="1795"/>
      <c r="M92" s="1795"/>
      <c r="N92" s="1795"/>
      <c r="Q92" s="1796"/>
      <c r="R92" s="1796"/>
      <c r="S92" s="1796"/>
      <c r="T92" s="1796"/>
      <c r="U92" s="1796"/>
      <c r="W92" s="368"/>
      <c r="X92" s="368"/>
      <c r="Y92" s="368"/>
      <c r="Z92" s="368"/>
      <c r="AA92" s="368"/>
      <c r="AB92" s="368"/>
      <c r="AC92" s="368"/>
      <c r="AD92" s="368"/>
      <c r="AE92" s="368"/>
      <c r="AF92" s="368"/>
      <c r="AG92" s="368"/>
      <c r="AH92" s="368"/>
      <c r="AI92" s="368"/>
    </row>
    <row r="93" spans="2:35" s="9" customFormat="1" ht="83.25" customHeight="1" x14ac:dyDescent="0.2">
      <c r="B93" s="1797" t="str">
        <f>W101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93" s="1797"/>
      <c r="D93" s="1797"/>
      <c r="E93" s="1797"/>
      <c r="F93" s="1797"/>
      <c r="G93" s="1797"/>
      <c r="H93" s="1797"/>
      <c r="I93" s="1797"/>
      <c r="J93" s="1797"/>
      <c r="K93" s="1797"/>
      <c r="L93" s="1797"/>
      <c r="M93" s="1797"/>
      <c r="N93" s="1797"/>
      <c r="Q93" s="1796"/>
      <c r="R93" s="1796"/>
      <c r="S93" s="1796"/>
      <c r="T93" s="1796"/>
      <c r="U93" s="1796"/>
      <c r="W93" s="1798" t="s">
        <v>162</v>
      </c>
      <c r="X93" s="1798"/>
      <c r="Y93" s="1798"/>
      <c r="Z93" s="1798"/>
      <c r="AA93" s="1798"/>
      <c r="AB93" s="1798"/>
      <c r="AC93" s="1798"/>
      <c r="AD93" s="1798"/>
      <c r="AE93" s="1798"/>
      <c r="AF93" s="1798"/>
      <c r="AG93" s="1798"/>
      <c r="AH93" s="1798"/>
      <c r="AI93" s="1798"/>
    </row>
    <row r="94" spans="2:35" s="198" customFormat="1" ht="15" customHeight="1" x14ac:dyDescent="0.2">
      <c r="B94" s="1799"/>
      <c r="C94" s="1799"/>
      <c r="D94" s="1799"/>
      <c r="E94" s="1800" t="str">
        <f>IF(P1=2,"Commandant","Commanding Officer")</f>
        <v>Commanding Officer</v>
      </c>
      <c r="F94" s="1800"/>
      <c r="G94" s="1800"/>
      <c r="H94" s="1800"/>
      <c r="I94" s="1800"/>
      <c r="J94" s="1801" t="str">
        <f>IF(P1=2,"Comité Répondant d'escadron (CRE)","Squadron Sponsoring Committee")</f>
        <v>Squadron Sponsoring Committee</v>
      </c>
      <c r="K94" s="1801"/>
      <c r="L94" s="1801"/>
      <c r="M94" s="1801"/>
      <c r="N94" s="1801"/>
      <c r="W94" s="369" t="s">
        <v>163</v>
      </c>
      <c r="X94" s="197"/>
      <c r="Y94" s="197"/>
      <c r="Z94" s="197"/>
      <c r="AA94" s="197"/>
      <c r="AB94" s="197"/>
      <c r="AC94" s="197"/>
      <c r="AD94" s="197"/>
      <c r="AE94" s="197"/>
      <c r="AF94" s="197"/>
      <c r="AG94" s="197"/>
      <c r="AH94" s="197"/>
      <c r="AI94" s="197"/>
    </row>
    <row r="95" spans="2:35" s="198" customFormat="1" ht="15.75" customHeight="1" x14ac:dyDescent="0.2">
      <c r="B95" s="1799"/>
      <c r="C95" s="1799"/>
      <c r="D95" s="1799"/>
      <c r="E95" s="1800"/>
      <c r="F95" s="1800"/>
      <c r="G95" s="1800"/>
      <c r="H95" s="1800"/>
      <c r="I95" s="1800"/>
      <c r="J95" s="1802" t="str">
        <f>IF(P1=2,"Président(e)","Chairperson")</f>
        <v>Chairperson</v>
      </c>
      <c r="K95" s="1802"/>
      <c r="L95" s="1803" t="str">
        <f>IF(P1=2,"Trésorier(ière)","Treasurer")</f>
        <v>Treasurer</v>
      </c>
      <c r="M95" s="1803"/>
      <c r="N95" s="1803"/>
      <c r="X95" s="370" t="s">
        <v>164</v>
      </c>
    </row>
    <row r="96" spans="2:35" s="9" customFormat="1" ht="30" customHeight="1" x14ac:dyDescent="0.2">
      <c r="B96" s="1808" t="s">
        <v>165</v>
      </c>
      <c r="C96" s="1808"/>
      <c r="D96" s="1808"/>
      <c r="E96" s="1809"/>
      <c r="F96" s="1809"/>
      <c r="G96" s="1809"/>
      <c r="H96" s="1809"/>
      <c r="I96" s="1809"/>
      <c r="J96" s="1810"/>
      <c r="K96" s="1810"/>
      <c r="L96" s="1811"/>
      <c r="M96" s="1811"/>
      <c r="N96" s="1811"/>
      <c r="X96" s="20" t="s">
        <v>166</v>
      </c>
    </row>
    <row r="97" spans="2:35" s="9" customFormat="1" ht="18" customHeight="1" x14ac:dyDescent="0.2">
      <c r="B97" s="1808" t="str">
        <f>IF(P1=2,"Nom imprimé:","Print Name:")</f>
        <v>Print Name:</v>
      </c>
      <c r="C97" s="1808"/>
      <c r="D97" s="1808"/>
      <c r="E97" s="1812">
        <f>'Set up ~ Config'!H14</f>
        <v>0</v>
      </c>
      <c r="F97" s="1812"/>
      <c r="G97" s="1812"/>
      <c r="H97" s="1812"/>
      <c r="I97" s="1812"/>
      <c r="J97" s="1813">
        <f>'Set up ~ Config'!C15</f>
        <v>0</v>
      </c>
      <c r="K97" s="1813"/>
      <c r="L97" s="1814">
        <f>'Set up ~ Config'!I20</f>
        <v>0</v>
      </c>
      <c r="M97" s="1815"/>
      <c r="N97" s="1815"/>
      <c r="X97" s="9" t="e">
        <f>IF(P1=2,"pour l'exercice terminée le "&amp;EndOfYear,"For Year End "&amp;EndOfYear)</f>
        <v>#REF!</v>
      </c>
    </row>
    <row r="98" spans="2:35" s="9" customFormat="1" ht="16.5" customHeight="1" x14ac:dyDescent="0.2">
      <c r="B98" s="1816" t="s">
        <v>136</v>
      </c>
      <c r="C98" s="1816"/>
      <c r="D98" s="1816"/>
      <c r="E98" s="1817">
        <f ca="1">TODAY()</f>
        <v>45517</v>
      </c>
      <c r="F98" s="1817"/>
      <c r="G98" s="1817"/>
      <c r="H98" s="1817"/>
      <c r="I98" s="1817"/>
      <c r="J98" s="1818">
        <f ca="1">TODAY()</f>
        <v>45517</v>
      </c>
      <c r="K98" s="1818"/>
      <c r="L98" s="1819">
        <f ca="1">TODAY()</f>
        <v>45517</v>
      </c>
      <c r="M98" s="1819"/>
      <c r="N98" s="1819"/>
      <c r="Q98" s="1804"/>
      <c r="R98" s="1804"/>
      <c r="S98" s="1804"/>
      <c r="T98" s="1804"/>
      <c r="U98" s="1804"/>
      <c r="W98" s="1794" t="s">
        <v>167</v>
      </c>
      <c r="X98" s="1794"/>
      <c r="Y98" s="1794"/>
      <c r="Z98" s="1794"/>
      <c r="AA98" s="1794"/>
      <c r="AB98" s="1794"/>
      <c r="AC98" s="1794"/>
      <c r="AD98" s="1794"/>
      <c r="AE98" s="1794"/>
      <c r="AF98" s="1794"/>
      <c r="AG98" s="1794"/>
      <c r="AH98" s="1794"/>
      <c r="AI98" s="1794"/>
    </row>
    <row r="99" spans="2:35" s="9" customFormat="1" ht="16.5" customHeight="1" x14ac:dyDescent="0.25">
      <c r="B99" s="1805"/>
      <c r="C99" s="1805"/>
      <c r="D99" s="1805"/>
      <c r="E99" s="1805"/>
      <c r="F99" s="1805"/>
      <c r="G99" s="1805"/>
      <c r="H99" s="1805"/>
      <c r="N99" s="371" t="s">
        <v>458</v>
      </c>
      <c r="Q99" s="1804"/>
      <c r="R99" s="1804"/>
      <c r="S99" s="1804"/>
      <c r="T99" s="1804"/>
      <c r="U99" s="1804"/>
      <c r="W99" s="1794" t="s">
        <v>168</v>
      </c>
      <c r="X99" s="1794"/>
      <c r="Y99" s="1794"/>
      <c r="Z99" s="1794"/>
      <c r="AA99" s="1794"/>
      <c r="AB99" s="1794"/>
      <c r="AC99" s="1794"/>
      <c r="AD99" s="1794"/>
      <c r="AE99" s="1794"/>
      <c r="AF99" s="1794"/>
      <c r="AG99" s="1794"/>
      <c r="AH99" s="1794"/>
      <c r="AI99" s="1794"/>
    </row>
    <row r="100" spans="2:35" s="9" customFormat="1" ht="15" customHeight="1" x14ac:dyDescent="0.2">
      <c r="B100" s="323"/>
      <c r="Q100" s="1806"/>
      <c r="R100" s="1806"/>
      <c r="S100" s="1806"/>
      <c r="T100" s="1806"/>
      <c r="U100" s="1806"/>
      <c r="W100" s="1794" t="s">
        <v>562</v>
      </c>
      <c r="X100" s="1794"/>
      <c r="Y100" s="1794"/>
      <c r="Z100" s="1794"/>
      <c r="AA100" s="1794"/>
      <c r="AB100" s="1794"/>
      <c r="AC100" s="1794"/>
      <c r="AD100" s="1794"/>
      <c r="AE100" s="1794"/>
      <c r="AF100" s="1794"/>
      <c r="AG100" s="1794"/>
      <c r="AH100" s="1794"/>
      <c r="AI100" s="1794"/>
    </row>
    <row r="101" spans="2:35" s="9" customFormat="1" ht="15" customHeight="1" x14ac:dyDescent="0.2">
      <c r="B101" s="323"/>
      <c r="Q101" s="1806"/>
      <c r="R101" s="1806"/>
      <c r="S101" s="1806"/>
      <c r="T101" s="1806"/>
      <c r="U101" s="1806"/>
      <c r="W101" s="1794" t="str">
        <f>IF(P1=2,W98&amp;" "&amp;W81&amp;" "&amp;W100&amp;W99,W93&amp;" "&amp;W81&amp;"."&amp;" "&amp;W91)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101" s="1794"/>
      <c r="Y101" s="1794"/>
      <c r="Z101" s="1794"/>
      <c r="AA101" s="1794"/>
      <c r="AB101" s="1794"/>
      <c r="AC101" s="1794"/>
      <c r="AD101" s="1794"/>
      <c r="AE101" s="1794"/>
      <c r="AF101" s="1794"/>
      <c r="AG101" s="1794"/>
      <c r="AH101" s="1794"/>
      <c r="AI101" s="1794"/>
    </row>
    <row r="102" spans="2:35" s="9" customFormat="1" ht="15" customHeight="1" x14ac:dyDescent="0.2">
      <c r="B102" s="323"/>
      <c r="G102" s="1807"/>
      <c r="H102" s="1807"/>
      <c r="I102" s="1807"/>
      <c r="J102" s="1807"/>
      <c r="K102" s="1807"/>
      <c r="L102" s="1807"/>
      <c r="M102" s="1807"/>
      <c r="Q102" s="1806"/>
      <c r="R102" s="1806"/>
      <c r="S102" s="1806"/>
      <c r="T102" s="1806"/>
      <c r="U102" s="1806"/>
      <c r="W102" s="1794"/>
      <c r="X102" s="1794"/>
      <c r="Y102" s="1794"/>
      <c r="Z102" s="1794"/>
      <c r="AA102" s="1794"/>
      <c r="AB102" s="1794"/>
      <c r="AC102" s="1794"/>
      <c r="AD102" s="1794"/>
      <c r="AE102" s="1794"/>
      <c r="AF102" s="1794"/>
      <c r="AG102" s="1794"/>
      <c r="AH102" s="1794"/>
      <c r="AI102" s="1794"/>
    </row>
    <row r="103" spans="2:35" s="9" customFormat="1" ht="40.5" customHeight="1" x14ac:dyDescent="0.2">
      <c r="B103" s="323"/>
      <c r="G103" s="1807"/>
      <c r="H103" s="1807"/>
      <c r="I103" s="1807"/>
      <c r="J103" s="1807"/>
      <c r="K103" s="1807"/>
      <c r="L103" s="1807"/>
      <c r="M103" s="1807"/>
      <c r="Q103" s="1806"/>
      <c r="R103" s="1806"/>
      <c r="S103" s="1806"/>
      <c r="T103" s="1806"/>
      <c r="U103" s="1806"/>
      <c r="W103" s="1794"/>
      <c r="X103" s="1794"/>
      <c r="Y103" s="1794"/>
      <c r="Z103" s="1794"/>
      <c r="AA103" s="1794"/>
      <c r="AB103" s="1794"/>
      <c r="AC103" s="1794"/>
      <c r="AD103" s="1794"/>
      <c r="AE103" s="1794"/>
      <c r="AF103" s="1794"/>
      <c r="AG103" s="1794"/>
      <c r="AH103" s="1794"/>
      <c r="AI103" s="1794"/>
    </row>
    <row r="104" spans="2:35" s="9" customFormat="1" ht="69.75" customHeight="1" x14ac:dyDescent="0.2">
      <c r="B104" s="323"/>
      <c r="G104" s="1807"/>
      <c r="H104" s="1807"/>
      <c r="I104" s="1807"/>
      <c r="J104" s="1807"/>
      <c r="K104" s="1807"/>
      <c r="L104" s="1807"/>
      <c r="M104" s="1807"/>
      <c r="Q104" s="1806"/>
      <c r="R104" s="1806"/>
      <c r="S104" s="1806"/>
      <c r="T104" s="1806"/>
      <c r="U104" s="1806"/>
      <c r="W104" s="1794"/>
      <c r="X104" s="1794"/>
      <c r="Y104" s="1794"/>
      <c r="Z104" s="1794"/>
      <c r="AA104" s="1794"/>
      <c r="AB104" s="1794"/>
      <c r="AC104" s="1794"/>
      <c r="AD104" s="1794"/>
      <c r="AE104" s="1794"/>
      <c r="AF104" s="1794"/>
      <c r="AG104" s="1794"/>
      <c r="AH104" s="1794"/>
      <c r="AI104" s="1794"/>
    </row>
    <row r="105" spans="2:35" s="9" customFormat="1" ht="15" customHeight="1" x14ac:dyDescent="0.2">
      <c r="B105" s="323"/>
      <c r="G105" s="368"/>
      <c r="H105" s="368"/>
      <c r="I105" s="368"/>
      <c r="J105" s="368"/>
      <c r="K105" s="368"/>
      <c r="L105" s="368"/>
      <c r="M105" s="368"/>
      <c r="W105" s="1794"/>
      <c r="X105" s="1794"/>
      <c r="Y105" s="1794"/>
      <c r="Z105" s="1794"/>
      <c r="AA105" s="1794"/>
      <c r="AB105" s="1794"/>
      <c r="AC105" s="1794"/>
      <c r="AD105" s="1794"/>
      <c r="AE105" s="1794"/>
      <c r="AF105" s="1794"/>
      <c r="AG105" s="1794"/>
      <c r="AH105" s="1794"/>
      <c r="AI105" s="1794"/>
    </row>
    <row r="106" spans="2:35" s="9" customFormat="1" ht="15" customHeight="1" x14ac:dyDescent="0.2">
      <c r="B106" s="323"/>
      <c r="G106" s="368"/>
      <c r="H106" s="368"/>
      <c r="I106" s="368"/>
      <c r="J106" s="368"/>
      <c r="K106" s="368"/>
      <c r="L106" s="368"/>
      <c r="M106" s="368"/>
      <c r="W106" s="1794"/>
      <c r="X106" s="1794"/>
      <c r="Y106" s="1794"/>
      <c r="Z106" s="1794"/>
      <c r="AA106" s="1794"/>
      <c r="AB106" s="1794"/>
      <c r="AC106" s="1794"/>
      <c r="AD106" s="1794"/>
      <c r="AE106" s="1794"/>
      <c r="AF106" s="1794"/>
      <c r="AG106" s="1794"/>
      <c r="AH106" s="1794"/>
      <c r="AI106" s="1794"/>
    </row>
    <row r="107" spans="2:35" s="9" customFormat="1" ht="15" customHeight="1" x14ac:dyDescent="0.2">
      <c r="B107" s="323"/>
      <c r="G107" s="368"/>
      <c r="H107" s="368"/>
      <c r="I107" s="368"/>
      <c r="J107" s="368"/>
      <c r="K107" s="368"/>
      <c r="L107" s="368"/>
      <c r="M107" s="368"/>
      <c r="W107" s="1794"/>
      <c r="X107" s="1794"/>
      <c r="Y107" s="1794"/>
      <c r="Z107" s="1794"/>
      <c r="AA107" s="1794"/>
      <c r="AB107" s="1794"/>
      <c r="AC107" s="1794"/>
      <c r="AD107" s="1794"/>
      <c r="AE107" s="1794"/>
      <c r="AF107" s="1794"/>
      <c r="AG107" s="1794"/>
      <c r="AH107" s="1794"/>
      <c r="AI107" s="1794"/>
    </row>
    <row r="108" spans="2:35" s="9" customFormat="1" ht="15" customHeight="1" x14ac:dyDescent="0.2">
      <c r="B108" s="323"/>
      <c r="W108" s="1794"/>
      <c r="X108" s="1794"/>
      <c r="Y108" s="1794"/>
      <c r="Z108" s="1794"/>
      <c r="AA108" s="1794"/>
      <c r="AB108" s="1794"/>
      <c r="AC108" s="1794"/>
      <c r="AD108" s="1794"/>
      <c r="AE108" s="1794"/>
      <c r="AF108" s="1794"/>
      <c r="AG108" s="1794"/>
      <c r="AH108" s="1794"/>
      <c r="AI108" s="1794"/>
    </row>
    <row r="109" spans="2:35" s="9" customFormat="1" ht="15" customHeight="1" x14ac:dyDescent="0.2">
      <c r="B109" s="323"/>
      <c r="W109" s="1794"/>
      <c r="X109" s="1794"/>
      <c r="Y109" s="1794"/>
      <c r="Z109" s="1794"/>
      <c r="AA109" s="1794"/>
      <c r="AB109" s="1794"/>
      <c r="AC109" s="1794"/>
      <c r="AD109" s="1794"/>
      <c r="AE109" s="1794"/>
      <c r="AF109" s="1794"/>
      <c r="AG109" s="1794"/>
      <c r="AH109" s="1794"/>
      <c r="AI109" s="1794"/>
    </row>
    <row r="110" spans="2:35" s="9" customFormat="1" ht="15" customHeight="1" x14ac:dyDescent="0.2">
      <c r="B110" s="323"/>
      <c r="W110" s="1794"/>
      <c r="X110" s="1794"/>
      <c r="Y110" s="1794"/>
      <c r="Z110" s="1794"/>
      <c r="AA110" s="1794"/>
      <c r="AB110" s="1794"/>
      <c r="AC110" s="1794"/>
      <c r="AD110" s="1794"/>
      <c r="AE110" s="1794"/>
      <c r="AF110" s="1794"/>
      <c r="AG110" s="1794"/>
      <c r="AH110" s="1794"/>
      <c r="AI110" s="1794"/>
    </row>
    <row r="111" spans="2:35" s="9" customFormat="1" ht="15" customHeight="1" x14ac:dyDescent="0.2">
      <c r="B111" s="323"/>
    </row>
    <row r="112" spans="2:35" s="9" customFormat="1" ht="15" customHeight="1" x14ac:dyDescent="0.2">
      <c r="B112" s="323"/>
    </row>
    <row r="113" spans="2:2" s="9" customFormat="1" ht="15" customHeight="1" x14ac:dyDescent="0.2">
      <c r="B113" s="323"/>
    </row>
    <row r="114" spans="2:2" s="9" customFormat="1" ht="15" customHeight="1" x14ac:dyDescent="0.2">
      <c r="B114" s="323"/>
    </row>
    <row r="115" spans="2:2" s="9" customFormat="1" ht="15" customHeight="1" x14ac:dyDescent="0.2">
      <c r="B115" s="323"/>
    </row>
    <row r="116" spans="2:2" s="9" customFormat="1" ht="15" customHeight="1" x14ac:dyDescent="0.2">
      <c r="B116" s="323"/>
    </row>
    <row r="117" spans="2:2" s="9" customFormat="1" ht="15" customHeight="1" x14ac:dyDescent="0.2">
      <c r="B117" s="323"/>
    </row>
    <row r="118" spans="2:2" s="9" customFormat="1" ht="15" customHeight="1" x14ac:dyDescent="0.2">
      <c r="B118" s="323"/>
    </row>
    <row r="119" spans="2:2" s="9" customFormat="1" ht="15" customHeight="1" x14ac:dyDescent="0.2">
      <c r="B119" s="323"/>
    </row>
    <row r="120" spans="2:2" s="9" customFormat="1" ht="15" customHeight="1" x14ac:dyDescent="0.2">
      <c r="B120" s="323"/>
    </row>
    <row r="121" spans="2:2" s="9" customFormat="1" ht="15" customHeight="1" x14ac:dyDescent="0.2">
      <c r="B121" s="323"/>
    </row>
    <row r="122" spans="2:2" s="9" customFormat="1" ht="15" customHeight="1" x14ac:dyDescent="0.2">
      <c r="B122" s="323"/>
    </row>
    <row r="123" spans="2:2" s="9" customFormat="1" ht="15" customHeight="1" x14ac:dyDescent="0.2">
      <c r="B123" s="323"/>
    </row>
    <row r="124" spans="2:2" s="9" customFormat="1" ht="15" customHeight="1" x14ac:dyDescent="0.2">
      <c r="B124" s="323"/>
    </row>
    <row r="125" spans="2:2" s="9" customFormat="1" ht="15" customHeight="1" x14ac:dyDescent="0.2">
      <c r="B125" s="323"/>
    </row>
    <row r="126" spans="2:2" s="9" customFormat="1" ht="15" customHeight="1" x14ac:dyDescent="0.2">
      <c r="B126" s="323"/>
    </row>
    <row r="127" spans="2:2" s="9" customFormat="1" ht="15" customHeight="1" x14ac:dyDescent="0.2">
      <c r="B127" s="323"/>
    </row>
    <row r="128" spans="2:2" s="9" customFormat="1" ht="15" customHeight="1" x14ac:dyDescent="0.2">
      <c r="B128" s="323"/>
    </row>
    <row r="129" spans="2:2" s="9" customFormat="1" ht="15" customHeight="1" x14ac:dyDescent="0.2">
      <c r="B129" s="323"/>
    </row>
    <row r="130" spans="2:2" s="9" customFormat="1" ht="15" customHeight="1" x14ac:dyDescent="0.2">
      <c r="B130" s="323"/>
    </row>
    <row r="131" spans="2:2" s="9" customFormat="1" ht="15" customHeight="1" x14ac:dyDescent="0.2">
      <c r="B131" s="323"/>
    </row>
    <row r="132" spans="2:2" s="9" customFormat="1" ht="15" customHeight="1" x14ac:dyDescent="0.2">
      <c r="B132" s="323"/>
    </row>
    <row r="133" spans="2:2" s="9" customFormat="1" ht="15" customHeight="1" x14ac:dyDescent="0.2">
      <c r="B133" s="323"/>
    </row>
    <row r="134" spans="2:2" s="9" customFormat="1" ht="15" customHeight="1" x14ac:dyDescent="0.2">
      <c r="B134" s="323"/>
    </row>
    <row r="135" spans="2:2" s="9" customFormat="1" ht="15" customHeight="1" x14ac:dyDescent="0.2">
      <c r="B135" s="323"/>
    </row>
    <row r="136" spans="2:2" s="9" customFormat="1" ht="15" customHeight="1" x14ac:dyDescent="0.2">
      <c r="B136" s="323"/>
    </row>
    <row r="137" spans="2:2" s="9" customFormat="1" ht="15" customHeight="1" x14ac:dyDescent="0.2">
      <c r="B137" s="323"/>
    </row>
    <row r="138" spans="2:2" s="9" customFormat="1" ht="15" customHeight="1" x14ac:dyDescent="0.2">
      <c r="B138" s="323"/>
    </row>
    <row r="139" spans="2:2" s="9" customFormat="1" ht="15" customHeight="1" x14ac:dyDescent="0.2">
      <c r="B139" s="323"/>
    </row>
    <row r="140" spans="2:2" s="9" customFormat="1" ht="15" customHeight="1" x14ac:dyDescent="0.2">
      <c r="B140" s="323"/>
    </row>
    <row r="141" spans="2:2" s="9" customFormat="1" ht="15" customHeight="1" x14ac:dyDescent="0.2">
      <c r="B141" s="323"/>
    </row>
    <row r="142" spans="2:2" s="9" customFormat="1" ht="15" customHeight="1" x14ac:dyDescent="0.2">
      <c r="B142" s="323"/>
    </row>
    <row r="143" spans="2:2" s="9" customFormat="1" ht="15" customHeight="1" x14ac:dyDescent="0.2">
      <c r="B143" s="323"/>
    </row>
    <row r="144" spans="2:2" s="9" customFormat="1" ht="15" customHeight="1" x14ac:dyDescent="0.2">
      <c r="B144" s="323"/>
    </row>
    <row r="145" spans="2:2" s="9" customFormat="1" ht="15" customHeight="1" x14ac:dyDescent="0.2">
      <c r="B145" s="323"/>
    </row>
    <row r="146" spans="2:2" s="9" customFormat="1" ht="15" customHeight="1" x14ac:dyDescent="0.2">
      <c r="B146" s="323"/>
    </row>
    <row r="147" spans="2:2" s="9" customFormat="1" ht="15" customHeight="1" x14ac:dyDescent="0.2">
      <c r="B147" s="323"/>
    </row>
    <row r="148" spans="2:2" s="9" customFormat="1" ht="15" customHeight="1" x14ac:dyDescent="0.2">
      <c r="B148" s="323"/>
    </row>
    <row r="149" spans="2:2" s="9" customFormat="1" ht="15" customHeight="1" x14ac:dyDescent="0.2">
      <c r="B149" s="323"/>
    </row>
    <row r="150" spans="2:2" s="9" customFormat="1" ht="15" customHeight="1" x14ac:dyDescent="0.2">
      <c r="B150" s="323"/>
    </row>
    <row r="151" spans="2:2" s="9" customFormat="1" ht="15" customHeight="1" x14ac:dyDescent="0.2">
      <c r="B151" s="323"/>
    </row>
    <row r="152" spans="2:2" s="9" customFormat="1" ht="15" customHeight="1" x14ac:dyDescent="0.2">
      <c r="B152" s="323"/>
    </row>
    <row r="153" spans="2:2" s="9" customFormat="1" ht="15" customHeight="1" x14ac:dyDescent="0.2">
      <c r="B153" s="323"/>
    </row>
    <row r="154" spans="2:2" s="9" customFormat="1" ht="15" customHeight="1" x14ac:dyDescent="0.2">
      <c r="B154" s="323"/>
    </row>
    <row r="155" spans="2:2" s="9" customFormat="1" ht="15" customHeight="1" x14ac:dyDescent="0.2">
      <c r="B155" s="323"/>
    </row>
    <row r="156" spans="2:2" s="9" customFormat="1" ht="15" customHeight="1" x14ac:dyDescent="0.2">
      <c r="B156" s="323"/>
    </row>
    <row r="157" spans="2:2" s="9" customFormat="1" ht="15" customHeight="1" x14ac:dyDescent="0.2">
      <c r="B157" s="323"/>
    </row>
    <row r="158" spans="2:2" s="9" customFormat="1" ht="15" customHeight="1" x14ac:dyDescent="0.2">
      <c r="B158" s="323"/>
    </row>
    <row r="159" spans="2:2" s="9" customFormat="1" ht="15" customHeight="1" x14ac:dyDescent="0.2">
      <c r="B159" s="323"/>
    </row>
    <row r="160" spans="2:2" s="9" customFormat="1" ht="15" customHeight="1" x14ac:dyDescent="0.2">
      <c r="B160" s="323"/>
    </row>
    <row r="161" spans="2:2" s="9" customFormat="1" ht="15" customHeight="1" x14ac:dyDescent="0.2">
      <c r="B161" s="323"/>
    </row>
    <row r="162" spans="2:2" s="9" customFormat="1" ht="15" customHeight="1" x14ac:dyDescent="0.2">
      <c r="B162" s="323"/>
    </row>
    <row r="163" spans="2:2" s="9" customFormat="1" ht="15" customHeight="1" x14ac:dyDescent="0.2">
      <c r="B163" s="323"/>
    </row>
    <row r="164" spans="2:2" s="9" customFormat="1" ht="15" customHeight="1" x14ac:dyDescent="0.2">
      <c r="B164" s="323"/>
    </row>
    <row r="165" spans="2:2" s="9" customFormat="1" ht="15" customHeight="1" x14ac:dyDescent="0.2">
      <c r="B165" s="323"/>
    </row>
    <row r="166" spans="2:2" s="9" customFormat="1" ht="15" customHeight="1" x14ac:dyDescent="0.2">
      <c r="B166" s="323"/>
    </row>
    <row r="167" spans="2:2" s="9" customFormat="1" ht="15" customHeight="1" x14ac:dyDescent="0.2">
      <c r="B167" s="323"/>
    </row>
    <row r="168" spans="2:2" s="9" customFormat="1" ht="15" customHeight="1" x14ac:dyDescent="0.2">
      <c r="B168" s="323"/>
    </row>
    <row r="169" spans="2:2" s="9" customFormat="1" ht="15" customHeight="1" x14ac:dyDescent="0.2">
      <c r="B169" s="323"/>
    </row>
    <row r="170" spans="2:2" s="9" customFormat="1" ht="15" customHeight="1" x14ac:dyDescent="0.2">
      <c r="B170" s="323"/>
    </row>
    <row r="171" spans="2:2" s="9" customFormat="1" ht="15" customHeight="1" x14ac:dyDescent="0.2">
      <c r="B171" s="323"/>
    </row>
    <row r="172" spans="2:2" s="9" customFormat="1" ht="15" customHeight="1" x14ac:dyDescent="0.2">
      <c r="B172" s="323"/>
    </row>
    <row r="173" spans="2:2" s="9" customFormat="1" ht="15" customHeight="1" x14ac:dyDescent="0.2">
      <c r="B173" s="323"/>
    </row>
    <row r="174" spans="2:2" s="9" customFormat="1" ht="15" customHeight="1" x14ac:dyDescent="0.2">
      <c r="B174" s="323"/>
    </row>
    <row r="175" spans="2:2" s="9" customFormat="1" ht="15" customHeight="1" x14ac:dyDescent="0.2">
      <c r="B175" s="323"/>
    </row>
    <row r="176" spans="2:2" s="9" customFormat="1" ht="15" customHeight="1" x14ac:dyDescent="0.2">
      <c r="B176" s="323"/>
    </row>
    <row r="177" spans="2:2" s="9" customFormat="1" ht="15" customHeight="1" x14ac:dyDescent="0.2">
      <c r="B177" s="323"/>
    </row>
    <row r="178" spans="2:2" s="9" customFormat="1" ht="15" customHeight="1" x14ac:dyDescent="0.2">
      <c r="B178" s="323"/>
    </row>
    <row r="179" spans="2:2" s="9" customFormat="1" ht="15" customHeight="1" x14ac:dyDescent="0.2">
      <c r="B179" s="323"/>
    </row>
    <row r="180" spans="2:2" s="9" customFormat="1" ht="15" customHeight="1" x14ac:dyDescent="0.2">
      <c r="B180" s="323"/>
    </row>
    <row r="181" spans="2:2" s="9" customFormat="1" ht="15" customHeight="1" x14ac:dyDescent="0.2">
      <c r="B181" s="323"/>
    </row>
    <row r="182" spans="2:2" s="9" customFormat="1" ht="15" customHeight="1" x14ac:dyDescent="0.2">
      <c r="B182" s="323"/>
    </row>
    <row r="183" spans="2:2" s="9" customFormat="1" ht="15" customHeight="1" x14ac:dyDescent="0.2">
      <c r="B183" s="323"/>
    </row>
    <row r="184" spans="2:2" s="9" customFormat="1" ht="15" customHeight="1" x14ac:dyDescent="0.2">
      <c r="B184" s="323"/>
    </row>
    <row r="185" spans="2:2" s="9" customFormat="1" ht="15" customHeight="1" x14ac:dyDescent="0.2">
      <c r="B185" s="323"/>
    </row>
    <row r="186" spans="2:2" s="9" customFormat="1" ht="15" customHeight="1" x14ac:dyDescent="0.2">
      <c r="B186" s="323"/>
    </row>
    <row r="187" spans="2:2" s="9" customFormat="1" ht="15" customHeight="1" x14ac:dyDescent="0.2">
      <c r="B187" s="323"/>
    </row>
    <row r="188" spans="2:2" s="9" customFormat="1" ht="15" customHeight="1" x14ac:dyDescent="0.2">
      <c r="B188" s="323"/>
    </row>
    <row r="189" spans="2:2" s="9" customFormat="1" ht="15" customHeight="1" x14ac:dyDescent="0.2">
      <c r="B189" s="323"/>
    </row>
    <row r="190" spans="2:2" s="9" customFormat="1" ht="15" customHeight="1" x14ac:dyDescent="0.2">
      <c r="B190" s="323"/>
    </row>
    <row r="191" spans="2:2" s="9" customFormat="1" ht="15" customHeight="1" x14ac:dyDescent="0.2">
      <c r="B191" s="323"/>
    </row>
    <row r="192" spans="2:2" s="9" customFormat="1" ht="15" customHeight="1" x14ac:dyDescent="0.2">
      <c r="B192" s="323"/>
    </row>
    <row r="193" spans="2:2" s="9" customFormat="1" ht="15" customHeight="1" x14ac:dyDescent="0.2">
      <c r="B193" s="323"/>
    </row>
    <row r="194" spans="2:2" s="9" customFormat="1" ht="15" customHeight="1" x14ac:dyDescent="0.2">
      <c r="B194" s="323"/>
    </row>
    <row r="195" spans="2:2" s="9" customFormat="1" ht="15" customHeight="1" x14ac:dyDescent="0.2">
      <c r="B195" s="323"/>
    </row>
    <row r="196" spans="2:2" s="9" customFormat="1" ht="15" customHeight="1" x14ac:dyDescent="0.2">
      <c r="B196" s="323"/>
    </row>
    <row r="197" spans="2:2" s="9" customFormat="1" ht="15" customHeight="1" x14ac:dyDescent="0.2">
      <c r="B197" s="323"/>
    </row>
    <row r="198" spans="2:2" s="9" customFormat="1" ht="15" customHeight="1" x14ac:dyDescent="0.2">
      <c r="B198" s="323"/>
    </row>
    <row r="199" spans="2:2" s="9" customFormat="1" ht="15" customHeight="1" x14ac:dyDescent="0.2">
      <c r="B199" s="323"/>
    </row>
    <row r="200" spans="2:2" s="9" customFormat="1" ht="15" customHeight="1" x14ac:dyDescent="0.2">
      <c r="B200" s="323"/>
    </row>
    <row r="201" spans="2:2" s="9" customFormat="1" ht="15" customHeight="1" x14ac:dyDescent="0.2">
      <c r="B201" s="323"/>
    </row>
    <row r="202" spans="2:2" s="9" customFormat="1" ht="15" customHeight="1" x14ac:dyDescent="0.2">
      <c r="B202" s="323"/>
    </row>
    <row r="203" spans="2:2" s="9" customFormat="1" ht="15" customHeight="1" x14ac:dyDescent="0.2">
      <c r="B203" s="323"/>
    </row>
    <row r="204" spans="2:2" s="9" customFormat="1" ht="15" customHeight="1" x14ac:dyDescent="0.2">
      <c r="B204" s="323"/>
    </row>
    <row r="205" spans="2:2" s="9" customFormat="1" ht="15" customHeight="1" x14ac:dyDescent="0.2">
      <c r="B205" s="323"/>
    </row>
    <row r="206" spans="2:2" s="9" customFormat="1" ht="15" customHeight="1" x14ac:dyDescent="0.2">
      <c r="B206" s="323"/>
    </row>
    <row r="207" spans="2:2" s="9" customFormat="1" ht="15" customHeight="1" x14ac:dyDescent="0.2">
      <c r="B207" s="323"/>
    </row>
    <row r="208" spans="2:2" s="9" customFormat="1" ht="15" customHeight="1" x14ac:dyDescent="0.2">
      <c r="B208" s="323"/>
    </row>
    <row r="209" spans="2:2" s="9" customFormat="1" ht="15" customHeight="1" x14ac:dyDescent="0.2">
      <c r="B209" s="323"/>
    </row>
    <row r="210" spans="2:2" s="9" customFormat="1" ht="15" customHeight="1" x14ac:dyDescent="0.2">
      <c r="B210" s="323"/>
    </row>
    <row r="211" spans="2:2" s="9" customFormat="1" ht="15" customHeight="1" x14ac:dyDescent="0.2">
      <c r="B211" s="323"/>
    </row>
    <row r="212" spans="2:2" s="9" customFormat="1" ht="15" customHeight="1" x14ac:dyDescent="0.2">
      <c r="B212" s="323"/>
    </row>
    <row r="213" spans="2:2" s="9" customFormat="1" ht="15" customHeight="1" x14ac:dyDescent="0.2">
      <c r="B213" s="323"/>
    </row>
    <row r="214" spans="2:2" s="9" customFormat="1" ht="15" customHeight="1" x14ac:dyDescent="0.2">
      <c r="B214" s="323"/>
    </row>
    <row r="215" spans="2:2" s="9" customFormat="1" ht="15" customHeight="1" x14ac:dyDescent="0.2">
      <c r="B215" s="323"/>
    </row>
    <row r="216" spans="2:2" s="9" customFormat="1" ht="15" customHeight="1" x14ac:dyDescent="0.2">
      <c r="B216" s="323"/>
    </row>
    <row r="217" spans="2:2" s="9" customFormat="1" ht="15" customHeight="1" x14ac:dyDescent="0.2">
      <c r="B217" s="323"/>
    </row>
    <row r="218" spans="2:2" s="9" customFormat="1" ht="15" customHeight="1" x14ac:dyDescent="0.2">
      <c r="B218" s="323"/>
    </row>
    <row r="219" spans="2:2" s="9" customFormat="1" ht="15" customHeight="1" x14ac:dyDescent="0.2">
      <c r="B219" s="323"/>
    </row>
    <row r="220" spans="2:2" s="9" customFormat="1" ht="15" customHeight="1" x14ac:dyDescent="0.2">
      <c r="B220" s="323"/>
    </row>
    <row r="221" spans="2:2" s="9" customFormat="1" ht="15" customHeight="1" x14ac:dyDescent="0.2">
      <c r="B221" s="323"/>
    </row>
    <row r="222" spans="2:2" s="9" customFormat="1" ht="15" customHeight="1" x14ac:dyDescent="0.2">
      <c r="B222" s="323"/>
    </row>
    <row r="223" spans="2:2" s="9" customFormat="1" ht="15" customHeight="1" x14ac:dyDescent="0.2">
      <c r="B223" s="323"/>
    </row>
    <row r="224" spans="2:2" s="9" customFormat="1" ht="15" customHeight="1" x14ac:dyDescent="0.2">
      <c r="B224" s="323"/>
    </row>
    <row r="225" spans="2:2" s="9" customFormat="1" ht="15" customHeight="1" x14ac:dyDescent="0.2">
      <c r="B225" s="323"/>
    </row>
    <row r="226" spans="2:2" s="9" customFormat="1" ht="15" customHeight="1" x14ac:dyDescent="0.2">
      <c r="B226" s="323"/>
    </row>
    <row r="227" spans="2:2" s="9" customFormat="1" ht="15" customHeight="1" x14ac:dyDescent="0.2">
      <c r="B227" s="323"/>
    </row>
    <row r="228" spans="2:2" s="9" customFormat="1" ht="15" customHeight="1" x14ac:dyDescent="0.2">
      <c r="B228" s="323"/>
    </row>
    <row r="229" spans="2:2" s="9" customFormat="1" ht="15" customHeight="1" x14ac:dyDescent="0.2">
      <c r="B229" s="323"/>
    </row>
    <row r="230" spans="2:2" s="9" customFormat="1" ht="15" customHeight="1" x14ac:dyDescent="0.2">
      <c r="B230" s="323"/>
    </row>
    <row r="231" spans="2:2" s="9" customFormat="1" ht="15" customHeight="1" x14ac:dyDescent="0.2">
      <c r="B231" s="323"/>
    </row>
    <row r="232" spans="2:2" s="9" customFormat="1" ht="15" customHeight="1" x14ac:dyDescent="0.2">
      <c r="B232" s="323"/>
    </row>
    <row r="233" spans="2:2" s="9" customFormat="1" ht="15" customHeight="1" x14ac:dyDescent="0.2">
      <c r="B233" s="323"/>
    </row>
    <row r="234" spans="2:2" s="9" customFormat="1" ht="15" customHeight="1" x14ac:dyDescent="0.2">
      <c r="B234" s="323"/>
    </row>
    <row r="235" spans="2:2" s="9" customFormat="1" ht="15" customHeight="1" x14ac:dyDescent="0.2">
      <c r="B235" s="323"/>
    </row>
    <row r="236" spans="2:2" s="9" customFormat="1" ht="15" customHeight="1" x14ac:dyDescent="0.2">
      <c r="B236" s="323"/>
    </row>
    <row r="237" spans="2:2" s="9" customFormat="1" ht="15" customHeight="1" x14ac:dyDescent="0.2">
      <c r="B237" s="323"/>
    </row>
    <row r="238" spans="2:2" s="9" customFormat="1" ht="15" customHeight="1" x14ac:dyDescent="0.2">
      <c r="B238" s="323"/>
    </row>
    <row r="239" spans="2:2" s="9" customFormat="1" ht="15" customHeight="1" x14ac:dyDescent="0.2">
      <c r="B239" s="323"/>
    </row>
    <row r="240" spans="2:2" s="9" customFormat="1" ht="15" customHeight="1" x14ac:dyDescent="0.2">
      <c r="B240" s="323"/>
    </row>
    <row r="241" spans="2:2" s="9" customFormat="1" ht="15" customHeight="1" x14ac:dyDescent="0.2">
      <c r="B241" s="323"/>
    </row>
    <row r="242" spans="2:2" s="9" customFormat="1" ht="15" customHeight="1" x14ac:dyDescent="0.2">
      <c r="B242" s="323"/>
    </row>
    <row r="243" spans="2:2" s="9" customFormat="1" ht="15" customHeight="1" x14ac:dyDescent="0.2">
      <c r="B243" s="323"/>
    </row>
    <row r="244" spans="2:2" s="9" customFormat="1" ht="15" customHeight="1" x14ac:dyDescent="0.2">
      <c r="B244" s="323"/>
    </row>
    <row r="245" spans="2:2" s="9" customFormat="1" ht="15" customHeight="1" x14ac:dyDescent="0.2">
      <c r="B245" s="323"/>
    </row>
    <row r="246" spans="2:2" s="9" customFormat="1" ht="15" customHeight="1" x14ac:dyDescent="0.2">
      <c r="B246" s="323"/>
    </row>
    <row r="247" spans="2:2" s="9" customFormat="1" ht="15" customHeight="1" x14ac:dyDescent="0.2">
      <c r="B247" s="323"/>
    </row>
    <row r="248" spans="2:2" s="9" customFormat="1" ht="15" customHeight="1" x14ac:dyDescent="0.2">
      <c r="B248" s="323"/>
    </row>
    <row r="249" spans="2:2" s="9" customFormat="1" ht="15" customHeight="1" x14ac:dyDescent="0.2">
      <c r="B249" s="323"/>
    </row>
    <row r="250" spans="2:2" s="9" customFormat="1" ht="15" customHeight="1" x14ac:dyDescent="0.2">
      <c r="B250" s="323"/>
    </row>
    <row r="251" spans="2:2" s="9" customFormat="1" ht="15" customHeight="1" x14ac:dyDescent="0.2">
      <c r="B251" s="323"/>
    </row>
    <row r="252" spans="2:2" s="9" customFormat="1" ht="15" customHeight="1" x14ac:dyDescent="0.2">
      <c r="B252" s="323"/>
    </row>
    <row r="253" spans="2:2" s="9" customFormat="1" ht="15" customHeight="1" x14ac:dyDescent="0.2">
      <c r="B253" s="323"/>
    </row>
    <row r="254" spans="2:2" s="9" customFormat="1" ht="15" customHeight="1" x14ac:dyDescent="0.2">
      <c r="B254" s="323"/>
    </row>
    <row r="255" spans="2:2" s="9" customFormat="1" ht="15" customHeight="1" x14ac:dyDescent="0.2">
      <c r="B255" s="323"/>
    </row>
    <row r="256" spans="2:2" s="9" customFormat="1" ht="15" customHeight="1" x14ac:dyDescent="0.2">
      <c r="B256" s="323"/>
    </row>
    <row r="257" spans="2:2" s="9" customFormat="1" ht="15" customHeight="1" x14ac:dyDescent="0.2">
      <c r="B257" s="323"/>
    </row>
    <row r="258" spans="2:2" s="9" customFormat="1" ht="15" customHeight="1" x14ac:dyDescent="0.2">
      <c r="B258" s="323"/>
    </row>
    <row r="259" spans="2:2" s="9" customFormat="1" ht="15" customHeight="1" x14ac:dyDescent="0.2">
      <c r="B259" s="323"/>
    </row>
    <row r="260" spans="2:2" s="9" customFormat="1" ht="15" customHeight="1" x14ac:dyDescent="0.2">
      <c r="B260" s="323"/>
    </row>
    <row r="261" spans="2:2" s="9" customFormat="1" ht="15" customHeight="1" x14ac:dyDescent="0.2">
      <c r="B261" s="323"/>
    </row>
    <row r="262" spans="2:2" s="9" customFormat="1" ht="15" customHeight="1" x14ac:dyDescent="0.2">
      <c r="B262" s="323"/>
    </row>
    <row r="263" spans="2:2" s="9" customFormat="1" ht="15" customHeight="1" x14ac:dyDescent="0.2">
      <c r="B263" s="323"/>
    </row>
  </sheetData>
  <sheetProtection algorithmName="SHA-512" hashValue="CWtetNjTJZrEUsk6jiGci1HicNfM+gYzsx5V36nYlhsXJkGkudhkGoLbDb2qxF4ewA6j3RCsZjTQpuxo/xCnJg==" saltValue="qYZiK2CqEdXvb6d3pirq7A==" spinCount="100000" sheet="1" objects="1" scenarios="1" selectLockedCells="1"/>
  <protectedRanges>
    <protectedRange sqref="L28:L36 L8:L25" name="Range1"/>
  </protectedRanges>
  <mergeCells count="134">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 ref="B92:N92"/>
    <mergeCell ref="Q92:U93"/>
    <mergeCell ref="B93:N93"/>
    <mergeCell ref="W93:AI93"/>
    <mergeCell ref="B94:D95"/>
    <mergeCell ref="E94:I95"/>
    <mergeCell ref="J94:N94"/>
    <mergeCell ref="J95:K95"/>
    <mergeCell ref="L95:N95"/>
    <mergeCell ref="W84:AI88"/>
    <mergeCell ref="C85:C87"/>
    <mergeCell ref="F85:K85"/>
    <mergeCell ref="N85:N86"/>
    <mergeCell ref="F86:K86"/>
    <mergeCell ref="F87:K87"/>
    <mergeCell ref="F88:K88"/>
    <mergeCell ref="B89:M89"/>
    <mergeCell ref="B91:M91"/>
    <mergeCell ref="W91:AI91"/>
    <mergeCell ref="Q78:Q79"/>
    <mergeCell ref="R78:T81"/>
    <mergeCell ref="F79:K79"/>
    <mergeCell ref="F80:M80"/>
    <mergeCell ref="Q80:Q81"/>
    <mergeCell ref="B81:M81"/>
    <mergeCell ref="R82:T87"/>
    <mergeCell ref="B83:N83"/>
    <mergeCell ref="C84:K8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F28:K28"/>
    <mergeCell ref="F29:K29"/>
    <mergeCell ref="F30:K30"/>
    <mergeCell ref="F36:K36"/>
    <mergeCell ref="F37:K37"/>
    <mergeCell ref="C38:M38"/>
    <mergeCell ref="F31:K31"/>
    <mergeCell ref="F32:K32"/>
    <mergeCell ref="F33:K33"/>
    <mergeCell ref="F34:K34"/>
    <mergeCell ref="F35:K35"/>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16:K16"/>
    <mergeCell ref="F17:K17"/>
    <mergeCell ref="F18:K18"/>
    <mergeCell ref="F19:K19"/>
    <mergeCell ref="F20:K20"/>
    <mergeCell ref="F21:K21"/>
    <mergeCell ref="F22:K22"/>
    <mergeCell ref="F23:K23"/>
    <mergeCell ref="F24:K24"/>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MJ149"/>
  <sheetViews>
    <sheetView showGridLines="0" showRowColHeaders="0" showZeros="0" zoomScale="85" zoomScaleNormal="85" zoomScalePageLayoutView="70" workbookViewId="0">
      <selection activeCell="I138" sqref="I138"/>
    </sheetView>
  </sheetViews>
  <sheetFormatPr defaultColWidth="11.42578125" defaultRowHeight="12.75" x14ac:dyDescent="0.2"/>
  <cols>
    <col min="1" max="1" width="3.7109375" style="1" customWidth="1"/>
    <col min="2" max="2" width="15.5703125" style="1" customWidth="1"/>
    <col min="3" max="3" width="43" style="1" customWidth="1"/>
    <col min="4" max="4" width="7" style="1" customWidth="1"/>
    <col min="5" max="5" width="7.28515625" style="1" customWidth="1"/>
    <col min="6" max="6" width="9.140625" style="1" customWidth="1"/>
    <col min="7" max="7" width="8.28515625" style="1" customWidth="1"/>
    <col min="8" max="8" width="17.140625" style="1" hidden="1" customWidth="1"/>
    <col min="9" max="10" width="25.7109375" style="1" customWidth="1"/>
    <col min="11" max="11" width="1.5703125" style="1" customWidth="1"/>
    <col min="12" max="12" width="0.85546875" style="1" customWidth="1"/>
    <col min="13" max="13" width="9.140625" style="1" customWidth="1"/>
    <col min="14" max="14" width="9.140625" style="1" hidden="1" customWidth="1"/>
    <col min="15" max="15" width="11.42578125" style="1"/>
    <col min="16" max="18" width="9.140625" style="1" customWidth="1"/>
    <col min="19" max="19" width="21.28515625" style="1" customWidth="1"/>
    <col min="20" max="21" width="9.140625" style="1" customWidth="1"/>
    <col min="22" max="22" width="9.140625" style="1" hidden="1" customWidth="1"/>
    <col min="23" max="257" width="9.140625" style="1" customWidth="1"/>
    <col min="258" max="1024" width="11.42578125" style="1"/>
  </cols>
  <sheetData>
    <row r="1" spans="2:22" ht="33.75" customHeight="1" x14ac:dyDescent="0.4">
      <c r="B1" s="1511" t="str">
        <f>IF(O3=2,"État des immobilisations","Statement of Fixed Assets")</f>
        <v>Statement of Fixed Assets</v>
      </c>
      <c r="C1" s="1511"/>
      <c r="D1" s="1511"/>
      <c r="E1" s="1511"/>
      <c r="F1" s="1511"/>
      <c r="G1" s="1511"/>
      <c r="H1" s="1511"/>
      <c r="I1" s="1511"/>
      <c r="J1" s="1511"/>
      <c r="K1" s="213"/>
      <c r="L1" s="12"/>
      <c r="M1" s="12"/>
    </row>
    <row r="2" spans="2:22" ht="26.25" customHeight="1" x14ac:dyDescent="0.2">
      <c r="B2" s="1717" t="str">
        <f>'Set up ~ Config'!B2:J2</f>
        <v xml:space="preserve">SSC </v>
      </c>
      <c r="C2" s="1717"/>
      <c r="D2" s="1717"/>
      <c r="E2" s="1717"/>
      <c r="F2" s="1717"/>
      <c r="G2" s="1717"/>
      <c r="H2" s="1717"/>
      <c r="I2" s="1717"/>
      <c r="J2" s="1717"/>
      <c r="K2" s="13"/>
    </row>
    <row r="3" spans="2:22" ht="26.25" customHeight="1" x14ac:dyDescent="0.2">
      <c r="B3" s="1718" t="str">
        <f>'Cover~Page~Titre'!B58:Y58</f>
        <v>For  Fiscal Year Ending on 2025-08-31</v>
      </c>
      <c r="C3" s="1718"/>
      <c r="D3" s="1718"/>
      <c r="E3" s="1718"/>
      <c r="F3" s="1718"/>
      <c r="G3" s="1718"/>
      <c r="H3" s="1718"/>
      <c r="I3" s="1718"/>
      <c r="J3" s="1718"/>
      <c r="K3" s="372"/>
      <c r="O3" s="23">
        <f>'Set up ~ Config'!L10</f>
        <v>1</v>
      </c>
    </row>
    <row r="4" spans="2:22" ht="24" hidden="1" customHeight="1" x14ac:dyDescent="0.2">
      <c r="B4" s="1540"/>
      <c r="C4" s="1540"/>
      <c r="D4" s="192"/>
      <c r="G4" s="373"/>
      <c r="H4" s="1758"/>
      <c r="I4" s="1758"/>
      <c r="J4" s="1758"/>
      <c r="K4" s="1758"/>
    </row>
    <row r="5" spans="2:22" ht="3.75" customHeight="1" x14ac:dyDescent="0.2">
      <c r="B5" s="373"/>
      <c r="C5" s="26"/>
      <c r="D5" s="26"/>
      <c r="E5" s="26"/>
      <c r="F5" s="26"/>
      <c r="G5" s="26"/>
      <c r="H5" s="26"/>
      <c r="I5" s="26"/>
      <c r="J5" s="26"/>
      <c r="K5" s="26"/>
    </row>
    <row r="6" spans="2:22" ht="46.5" customHeight="1" x14ac:dyDescent="0.2">
      <c r="B6" s="374" t="str">
        <f>IF(O3=2,"Numéro de catégorie d'item","Inventory Category Number")</f>
        <v>Inventory Category Number</v>
      </c>
      <c r="C6" s="374" t="str">
        <f>IF(O3=2,"Nom de catégorie d'item","Item Category Name")</f>
        <v>Item Category Name</v>
      </c>
      <c r="D6" s="1820" t="str">
        <f>IF(O3=2,"Description","Description")</f>
        <v>Description</v>
      </c>
      <c r="E6" s="1820"/>
      <c r="F6" s="1820"/>
      <c r="G6" s="1820"/>
      <c r="H6" s="1820"/>
      <c r="I6" s="374" t="str">
        <f>IF(O3=2,"Prix d'acquisition","Purchase Price")</f>
        <v>Purchase Price</v>
      </c>
      <c r="J6" s="374" t="str">
        <f>IF(O3=2,"Valeur de remplacement ou juste valeur marchande","Estimated Replacement Cost or Fair Market Value")</f>
        <v>Estimated Replacement Cost or Fair Market Value</v>
      </c>
      <c r="P6" s="2"/>
    </row>
    <row r="7" spans="2:22" ht="6" customHeight="1" x14ac:dyDescent="0.2">
      <c r="B7" s="375"/>
      <c r="C7" s="5"/>
      <c r="D7" s="5"/>
      <c r="E7" s="5"/>
      <c r="F7" s="5"/>
      <c r="G7" s="5"/>
      <c r="H7" s="5"/>
      <c r="I7" s="5"/>
      <c r="J7" s="5"/>
    </row>
    <row r="8" spans="2:22" ht="18" x14ac:dyDescent="0.2">
      <c r="B8" s="376" t="s">
        <v>169</v>
      </c>
      <c r="C8" s="1821" t="str">
        <f>IF(O3=2,"Aéronefs","Aircrafts")</f>
        <v>Aircrafts</v>
      </c>
      <c r="D8" s="1821"/>
      <c r="E8" s="1821"/>
      <c r="F8" s="1821"/>
      <c r="G8" s="1821"/>
      <c r="H8" s="1821"/>
      <c r="I8" s="1821"/>
      <c r="J8" s="1821"/>
    </row>
    <row r="9" spans="2:22" ht="17.25" customHeight="1" x14ac:dyDescent="0.2">
      <c r="B9" s="377" t="s">
        <v>170</v>
      </c>
      <c r="C9" s="378"/>
      <c r="D9" s="1822"/>
      <c r="E9" s="1822"/>
      <c r="F9" s="1822"/>
      <c r="G9" s="1822"/>
      <c r="H9" s="1822"/>
      <c r="I9" s="379"/>
      <c r="J9" s="379"/>
    </row>
    <row r="10" spans="2:22" ht="16.5" customHeight="1" x14ac:dyDescent="0.2">
      <c r="B10" s="377" t="s">
        <v>171</v>
      </c>
      <c r="C10" s="378"/>
      <c r="D10" s="1822"/>
      <c r="E10" s="1822"/>
      <c r="F10" s="1822"/>
      <c r="G10" s="1822"/>
      <c r="H10" s="1822"/>
      <c r="I10" s="379"/>
      <c r="J10" s="379"/>
    </row>
    <row r="11" spans="2:22" ht="16.5" customHeight="1" x14ac:dyDescent="0.2">
      <c r="B11" s="377" t="s">
        <v>172</v>
      </c>
      <c r="C11" s="378"/>
      <c r="D11" s="1822"/>
      <c r="E11" s="1822"/>
      <c r="F11" s="1822"/>
      <c r="G11" s="1822"/>
      <c r="H11" s="1822"/>
      <c r="I11" s="379"/>
      <c r="J11" s="379"/>
      <c r="M11" s="1823"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23"/>
      <c r="O11" s="1823"/>
      <c r="P11" s="1823"/>
      <c r="Q11" s="1823"/>
      <c r="R11" s="1823"/>
      <c r="S11" s="1823"/>
    </row>
    <row r="12" spans="2:22" ht="16.5" customHeight="1" x14ac:dyDescent="0.2">
      <c r="B12" s="377" t="s">
        <v>173</v>
      </c>
      <c r="C12" s="378"/>
      <c r="D12" s="1822"/>
      <c r="E12" s="1822"/>
      <c r="F12" s="1822"/>
      <c r="G12" s="1822"/>
      <c r="H12" s="1822"/>
      <c r="I12" s="379"/>
      <c r="J12" s="379"/>
      <c r="M12" s="1823"/>
      <c r="N12" s="1823"/>
      <c r="O12" s="1823"/>
      <c r="P12" s="1823"/>
      <c r="Q12" s="1823"/>
      <c r="R12" s="1823"/>
      <c r="S12" s="1823"/>
    </row>
    <row r="13" spans="2:22" ht="16.5" customHeight="1" x14ac:dyDescent="0.2">
      <c r="B13" s="377" t="s">
        <v>174</v>
      </c>
      <c r="C13" s="378"/>
      <c r="D13" s="1822"/>
      <c r="E13" s="1822"/>
      <c r="F13" s="1822"/>
      <c r="G13" s="1822"/>
      <c r="H13" s="1822"/>
      <c r="I13" s="379"/>
      <c r="J13" s="379"/>
      <c r="M13" s="1823"/>
      <c r="N13" s="1823"/>
      <c r="O13" s="1823"/>
      <c r="P13" s="1823"/>
      <c r="Q13" s="1823"/>
      <c r="R13" s="1823"/>
      <c r="S13" s="1823"/>
    </row>
    <row r="14" spans="2:22" ht="16.5" customHeight="1" x14ac:dyDescent="0.2">
      <c r="B14" s="377" t="s">
        <v>175</v>
      </c>
      <c r="C14" s="378"/>
      <c r="D14" s="1822"/>
      <c r="E14" s="1822"/>
      <c r="F14" s="1822"/>
      <c r="G14" s="1822"/>
      <c r="H14" s="1822"/>
      <c r="I14" s="379"/>
      <c r="J14" s="379"/>
      <c r="M14" s="1823"/>
      <c r="N14" s="1823"/>
      <c r="O14" s="1823"/>
      <c r="P14" s="1823"/>
      <c r="Q14" s="1823"/>
      <c r="R14" s="1823"/>
      <c r="S14" s="1823"/>
    </row>
    <row r="15" spans="2:22" ht="16.5" customHeight="1" x14ac:dyDescent="0.2">
      <c r="B15" s="377" t="s">
        <v>176</v>
      </c>
      <c r="C15" s="380" t="str">
        <f>IF(O3=2,"Pièces de rechange","Spare Parts")</f>
        <v>Spare Parts</v>
      </c>
      <c r="D15" s="1822"/>
      <c r="E15" s="1822"/>
      <c r="F15" s="1822"/>
      <c r="G15" s="1822"/>
      <c r="H15" s="1822"/>
      <c r="I15" s="379"/>
      <c r="J15" s="379"/>
      <c r="M15" s="1823"/>
      <c r="N15" s="1823"/>
      <c r="O15" s="1823"/>
      <c r="P15" s="1823"/>
      <c r="Q15" s="1823"/>
      <c r="R15" s="1823"/>
      <c r="S15" s="1823"/>
    </row>
    <row r="16" spans="2:22" ht="16.5" customHeight="1" x14ac:dyDescent="0.2">
      <c r="B16" s="381" t="s">
        <v>177</v>
      </c>
      <c r="C16" s="380" t="str">
        <f>IF(O3=2,"Autres","Others")</f>
        <v>Others</v>
      </c>
      <c r="D16" s="1822"/>
      <c r="E16" s="1822"/>
      <c r="F16" s="1822"/>
      <c r="G16" s="1822"/>
      <c r="H16" s="1822"/>
      <c r="I16" s="379"/>
      <c r="J16" s="379"/>
      <c r="M16" s="1823"/>
      <c r="N16" s="1823"/>
      <c r="O16" s="1823"/>
      <c r="P16" s="1823"/>
      <c r="Q16" s="1823"/>
      <c r="R16" s="1823"/>
      <c r="S16" s="1823"/>
      <c r="V16" s="187" t="s">
        <v>178</v>
      </c>
    </row>
    <row r="17" spans="2:22" ht="15.75" x14ac:dyDescent="0.2">
      <c r="B17" s="382"/>
      <c r="C17" s="382"/>
      <c r="D17" s="382"/>
      <c r="E17" s="382"/>
      <c r="F17" s="382"/>
      <c r="G17" s="1824" t="s">
        <v>179</v>
      </c>
      <c r="H17" s="1824"/>
      <c r="I17" s="383">
        <f>SUM(I9:I16)</f>
        <v>0</v>
      </c>
      <c r="J17" s="384">
        <f>SUM(J9:J16)</f>
        <v>0</v>
      </c>
      <c r="M17" s="1823"/>
      <c r="N17" s="1823"/>
      <c r="O17" s="1823"/>
      <c r="P17" s="1823"/>
      <c r="Q17" s="1823"/>
      <c r="R17" s="1823"/>
      <c r="S17" s="1823"/>
      <c r="V17" s="187" t="s">
        <v>180</v>
      </c>
    </row>
    <row r="18" spans="2:22" ht="9.9499999999999993" customHeight="1" x14ac:dyDescent="0.2">
      <c r="B18" s="385"/>
      <c r="C18" s="5"/>
      <c r="D18" s="5"/>
      <c r="E18" s="5"/>
      <c r="F18" s="5"/>
      <c r="G18" s="5"/>
      <c r="H18" s="5"/>
      <c r="I18" s="5"/>
      <c r="J18" s="386"/>
      <c r="M18" s="1823"/>
      <c r="N18" s="1823"/>
      <c r="O18" s="1823"/>
      <c r="P18" s="1823"/>
      <c r="Q18" s="1823"/>
      <c r="R18" s="1823"/>
      <c r="S18" s="1823"/>
    </row>
    <row r="19" spans="2:22" ht="18" x14ac:dyDescent="0.2">
      <c r="B19" s="376" t="s">
        <v>181</v>
      </c>
      <c r="C19" s="1821" t="str">
        <f>IF(O3=2,"Terrains &amp; Propriétés","Land &amp; Properties")</f>
        <v>Land &amp; Properties</v>
      </c>
      <c r="D19" s="1821"/>
      <c r="E19" s="1821"/>
      <c r="F19" s="1821"/>
      <c r="G19" s="1821"/>
      <c r="H19" s="1821"/>
      <c r="I19" s="1821"/>
      <c r="J19" s="1821"/>
      <c r="M19" s="1823"/>
      <c r="N19" s="1823"/>
      <c r="O19" s="1823"/>
      <c r="P19" s="1823"/>
      <c r="Q19" s="1823"/>
      <c r="R19" s="1823"/>
      <c r="S19" s="1823"/>
    </row>
    <row r="20" spans="2:22" ht="16.5" customHeight="1" x14ac:dyDescent="0.2">
      <c r="B20" s="377" t="s">
        <v>182</v>
      </c>
      <c r="C20" s="378"/>
      <c r="D20" s="1825"/>
      <c r="E20" s="1825"/>
      <c r="F20" s="1825"/>
      <c r="G20" s="1825"/>
      <c r="H20" s="1825"/>
      <c r="I20" s="379"/>
      <c r="J20" s="379"/>
    </row>
    <row r="21" spans="2:22" ht="16.5" customHeight="1" x14ac:dyDescent="0.2">
      <c r="B21" s="377" t="s">
        <v>183</v>
      </c>
      <c r="C21" s="378"/>
      <c r="D21" s="1825"/>
      <c r="E21" s="1825"/>
      <c r="F21" s="1825"/>
      <c r="G21" s="1825"/>
      <c r="H21" s="1825"/>
      <c r="I21" s="379"/>
      <c r="J21" s="379"/>
    </row>
    <row r="22" spans="2:22" ht="16.5" customHeight="1" x14ac:dyDescent="0.2">
      <c r="B22" s="377" t="s">
        <v>184</v>
      </c>
      <c r="C22" s="378"/>
      <c r="D22" s="1825"/>
      <c r="E22" s="1825"/>
      <c r="F22" s="1825"/>
      <c r="G22" s="1825"/>
      <c r="H22" s="1825"/>
      <c r="I22" s="379"/>
      <c r="J22" s="379"/>
    </row>
    <row r="23" spans="2:22" ht="16.5" customHeight="1" x14ac:dyDescent="0.2">
      <c r="B23" s="377" t="s">
        <v>185</v>
      </c>
      <c r="C23" s="378"/>
      <c r="D23" s="1825"/>
      <c r="E23" s="1825"/>
      <c r="F23" s="1825"/>
      <c r="G23" s="1825"/>
      <c r="H23" s="1825"/>
      <c r="I23" s="379"/>
      <c r="J23" s="379"/>
    </row>
    <row r="24" spans="2:22" ht="16.5" customHeight="1" x14ac:dyDescent="0.2">
      <c r="B24" s="377" t="s">
        <v>186</v>
      </c>
      <c r="C24" s="378"/>
      <c r="D24" s="1825"/>
      <c r="E24" s="1825"/>
      <c r="F24" s="1825"/>
      <c r="G24" s="1825"/>
      <c r="H24" s="1825"/>
      <c r="I24" s="379"/>
      <c r="J24" s="379"/>
    </row>
    <row r="25" spans="2:22" ht="16.5" customHeight="1" x14ac:dyDescent="0.2">
      <c r="B25" s="377" t="s">
        <v>187</v>
      </c>
      <c r="C25" s="378"/>
      <c r="D25" s="1825"/>
      <c r="E25" s="1825"/>
      <c r="F25" s="1825"/>
      <c r="G25" s="1825"/>
      <c r="H25" s="1825"/>
      <c r="I25" s="379"/>
      <c r="J25" s="379"/>
    </row>
    <row r="26" spans="2:22" ht="16.5" customHeight="1" x14ac:dyDescent="0.2">
      <c r="B26" s="377" t="s">
        <v>188</v>
      </c>
      <c r="C26" s="378"/>
      <c r="D26" s="1825"/>
      <c r="E26" s="1825"/>
      <c r="F26" s="1825"/>
      <c r="G26" s="1825"/>
      <c r="H26" s="1825"/>
      <c r="I26" s="379"/>
      <c r="J26" s="379"/>
    </row>
    <row r="27" spans="2:22" ht="16.5" customHeight="1" x14ac:dyDescent="0.2">
      <c r="B27" s="381" t="s">
        <v>189</v>
      </c>
      <c r="C27" s="380" t="str">
        <f>IF(O3=2,"Autres","Others")</f>
        <v>Others</v>
      </c>
      <c r="D27" s="1825"/>
      <c r="E27" s="1825"/>
      <c r="F27" s="1825"/>
      <c r="G27" s="1825"/>
      <c r="H27" s="1825"/>
      <c r="I27" s="379"/>
      <c r="J27" s="379"/>
    </row>
    <row r="28" spans="2:22" ht="15.75" x14ac:dyDescent="0.2">
      <c r="B28" s="387"/>
      <c r="C28" s="382"/>
      <c r="D28" s="382"/>
      <c r="E28" s="382"/>
      <c r="F28" s="382"/>
      <c r="G28" s="1824" t="s">
        <v>179</v>
      </c>
      <c r="H28" s="1824"/>
      <c r="I28" s="383">
        <f>SUM(I20:I27)</f>
        <v>0</v>
      </c>
      <c r="J28" s="384">
        <f>SUM(J20:J27)</f>
        <v>0</v>
      </c>
    </row>
    <row r="29" spans="2:22" ht="9.9499999999999993" customHeight="1" x14ac:dyDescent="0.2">
      <c r="B29" s="385"/>
      <c r="C29" s="5"/>
      <c r="D29" s="5"/>
      <c r="E29" s="5"/>
      <c r="F29" s="5"/>
      <c r="G29" s="5"/>
      <c r="H29" s="5"/>
      <c r="I29" s="5"/>
      <c r="J29" s="5"/>
    </row>
    <row r="30" spans="2:22" ht="18" x14ac:dyDescent="0.2">
      <c r="B30" s="376" t="s">
        <v>190</v>
      </c>
      <c r="C30" s="1821" t="str">
        <f>IF(O3=2,"Bâtiments","Buildings")</f>
        <v>Buildings</v>
      </c>
      <c r="D30" s="1821"/>
      <c r="E30" s="1821"/>
      <c r="F30" s="1821"/>
      <c r="G30" s="1821"/>
      <c r="H30" s="1821"/>
      <c r="I30" s="1821"/>
      <c r="J30" s="1821"/>
    </row>
    <row r="31" spans="2:22" ht="16.5" customHeight="1" x14ac:dyDescent="0.2">
      <c r="B31" s="388" t="s">
        <v>191</v>
      </c>
      <c r="C31" s="378"/>
      <c r="D31" s="1825"/>
      <c r="E31" s="1825"/>
      <c r="F31" s="1825"/>
      <c r="G31" s="1825"/>
      <c r="H31" s="1825"/>
      <c r="I31" s="379"/>
      <c r="J31" s="379"/>
    </row>
    <row r="32" spans="2:22" ht="16.5" customHeight="1" x14ac:dyDescent="0.2">
      <c r="B32" s="388" t="s">
        <v>192</v>
      </c>
      <c r="C32" s="378"/>
      <c r="D32" s="1825"/>
      <c r="E32" s="1825"/>
      <c r="F32" s="1825"/>
      <c r="G32" s="1825"/>
      <c r="H32" s="1825"/>
      <c r="I32" s="379"/>
      <c r="J32" s="379"/>
    </row>
    <row r="33" spans="2:10" ht="16.5" customHeight="1" x14ac:dyDescent="0.2">
      <c r="B33" s="388" t="s">
        <v>193</v>
      </c>
      <c r="C33" s="378"/>
      <c r="D33" s="1825"/>
      <c r="E33" s="1825"/>
      <c r="F33" s="1825"/>
      <c r="G33" s="1825"/>
      <c r="H33" s="1825"/>
      <c r="I33" s="379"/>
      <c r="J33" s="379"/>
    </row>
    <row r="34" spans="2:10" ht="16.5" customHeight="1" x14ac:dyDescent="0.2">
      <c r="B34" s="388" t="s">
        <v>194</v>
      </c>
      <c r="C34" s="378"/>
      <c r="D34" s="1825"/>
      <c r="E34" s="1825"/>
      <c r="F34" s="1825"/>
      <c r="G34" s="1825"/>
      <c r="H34" s="1825"/>
      <c r="I34" s="379"/>
      <c r="J34" s="379"/>
    </row>
    <row r="35" spans="2:10" ht="16.5" customHeight="1" x14ac:dyDescent="0.2">
      <c r="B35" s="388" t="s">
        <v>195</v>
      </c>
      <c r="C35" s="378"/>
      <c r="D35" s="1825"/>
      <c r="E35" s="1825"/>
      <c r="F35" s="1825"/>
      <c r="G35" s="1825"/>
      <c r="H35" s="1825"/>
      <c r="I35" s="379"/>
      <c r="J35" s="379"/>
    </row>
    <row r="36" spans="2:10" ht="16.5" customHeight="1" x14ac:dyDescent="0.2">
      <c r="B36" s="388" t="s">
        <v>196</v>
      </c>
      <c r="C36" s="378"/>
      <c r="D36" s="1825"/>
      <c r="E36" s="1825"/>
      <c r="F36" s="1825"/>
      <c r="G36" s="1825"/>
      <c r="H36" s="1825"/>
      <c r="I36" s="379"/>
      <c r="J36" s="379"/>
    </row>
    <row r="37" spans="2:10" ht="16.5" customHeight="1" x14ac:dyDescent="0.2">
      <c r="B37" s="388" t="s">
        <v>197</v>
      </c>
      <c r="C37" s="378"/>
      <c r="D37" s="1825"/>
      <c r="E37" s="1825"/>
      <c r="F37" s="1825"/>
      <c r="G37" s="1825"/>
      <c r="H37" s="1825"/>
      <c r="I37" s="379"/>
      <c r="J37" s="379"/>
    </row>
    <row r="38" spans="2:10" ht="16.5" customHeight="1" x14ac:dyDescent="0.2">
      <c r="B38" s="389" t="s">
        <v>198</v>
      </c>
      <c r="C38" s="380" t="str">
        <f>IF(O3=2,"Autres","Others")</f>
        <v>Others</v>
      </c>
      <c r="D38" s="1825"/>
      <c r="E38" s="1825"/>
      <c r="F38" s="1825"/>
      <c r="G38" s="1825"/>
      <c r="H38" s="1825"/>
      <c r="I38" s="379"/>
      <c r="J38" s="379"/>
    </row>
    <row r="39" spans="2:10" ht="15.75" x14ac:dyDescent="0.2">
      <c r="B39" s="387"/>
      <c r="C39" s="382"/>
      <c r="D39" s="382"/>
      <c r="E39" s="382"/>
      <c r="F39" s="382"/>
      <c r="G39" s="1824" t="s">
        <v>179</v>
      </c>
      <c r="H39" s="1824"/>
      <c r="I39" s="383">
        <f>SUM(I31:I38)</f>
        <v>0</v>
      </c>
      <c r="J39" s="384">
        <f>SUM(J31:J38)</f>
        <v>0</v>
      </c>
    </row>
    <row r="40" spans="2:10" ht="9.9499999999999993" customHeight="1" x14ac:dyDescent="0.2">
      <c r="B40" s="385"/>
      <c r="C40" s="5"/>
      <c r="D40" s="5"/>
      <c r="E40" s="5"/>
      <c r="F40" s="5"/>
      <c r="G40" s="5"/>
      <c r="H40" s="5"/>
      <c r="I40" s="5"/>
      <c r="J40" s="5"/>
    </row>
    <row r="41" spans="2:10" ht="18" x14ac:dyDescent="0.2">
      <c r="B41" s="376" t="s">
        <v>199</v>
      </c>
      <c r="C41" s="1821" t="str">
        <f>IF(O3=2,"Véhicules","Vehicles")</f>
        <v>Vehicles</v>
      </c>
      <c r="D41" s="1821"/>
      <c r="E41" s="1821"/>
      <c r="F41" s="1821"/>
      <c r="G41" s="1821"/>
      <c r="H41" s="1821"/>
      <c r="I41" s="1821"/>
      <c r="J41" s="1821"/>
    </row>
    <row r="42" spans="2:10" ht="16.5" customHeight="1" x14ac:dyDescent="0.2">
      <c r="B42" s="388" t="s">
        <v>200</v>
      </c>
      <c r="C42" s="378"/>
      <c r="D42" s="1822"/>
      <c r="E42" s="1822"/>
      <c r="F42" s="1822"/>
      <c r="G42" s="1822"/>
      <c r="H42" s="1822"/>
      <c r="I42" s="379"/>
      <c r="J42" s="379"/>
    </row>
    <row r="43" spans="2:10" ht="16.5" customHeight="1" x14ac:dyDescent="0.2">
      <c r="B43" s="388" t="s">
        <v>201</v>
      </c>
      <c r="C43" s="378"/>
      <c r="D43" s="1822"/>
      <c r="E43" s="1822"/>
      <c r="F43" s="1822"/>
      <c r="G43" s="1822"/>
      <c r="H43" s="1822"/>
      <c r="I43" s="379"/>
      <c r="J43" s="379"/>
    </row>
    <row r="44" spans="2:10" ht="16.5" customHeight="1" x14ac:dyDescent="0.2">
      <c r="B44" s="388" t="s">
        <v>202</v>
      </c>
      <c r="C44" s="378"/>
      <c r="D44" s="1822"/>
      <c r="E44" s="1822"/>
      <c r="F44" s="1822"/>
      <c r="G44" s="1822"/>
      <c r="H44" s="1822"/>
      <c r="I44" s="379"/>
      <c r="J44" s="379"/>
    </row>
    <row r="45" spans="2:10" ht="16.5" customHeight="1" x14ac:dyDescent="0.2">
      <c r="B45" s="388" t="s">
        <v>203</v>
      </c>
      <c r="C45" s="378"/>
      <c r="D45" s="1822"/>
      <c r="E45" s="1822"/>
      <c r="F45" s="1822"/>
      <c r="G45" s="1822"/>
      <c r="H45" s="1822"/>
      <c r="I45" s="379"/>
      <c r="J45" s="379"/>
    </row>
    <row r="46" spans="2:10" ht="16.5" customHeight="1" x14ac:dyDescent="0.2">
      <c r="B46" s="388" t="s">
        <v>204</v>
      </c>
      <c r="C46" s="378"/>
      <c r="D46" s="1822"/>
      <c r="E46" s="1822"/>
      <c r="F46" s="1822"/>
      <c r="G46" s="1822"/>
      <c r="H46" s="1822"/>
      <c r="I46" s="379"/>
      <c r="J46" s="379"/>
    </row>
    <row r="47" spans="2:10" ht="16.5" customHeight="1" x14ac:dyDescent="0.2">
      <c r="B47" s="388" t="s">
        <v>205</v>
      </c>
      <c r="C47" s="378"/>
      <c r="D47" s="1822"/>
      <c r="E47" s="1822"/>
      <c r="F47" s="1822"/>
      <c r="G47" s="1822"/>
      <c r="H47" s="1822"/>
      <c r="I47" s="379"/>
      <c r="J47" s="379"/>
    </row>
    <row r="48" spans="2:10" ht="16.5" customHeight="1" x14ac:dyDescent="0.2">
      <c r="B48" s="388" t="s">
        <v>206</v>
      </c>
      <c r="C48" s="378"/>
      <c r="D48" s="1822"/>
      <c r="E48" s="1822"/>
      <c r="F48" s="1822"/>
      <c r="G48" s="1822"/>
      <c r="H48" s="1822"/>
      <c r="I48" s="379"/>
      <c r="J48" s="379"/>
    </row>
    <row r="49" spans="2:10" ht="16.5" customHeight="1" x14ac:dyDescent="0.2">
      <c r="B49" s="389" t="s">
        <v>207</v>
      </c>
      <c r="C49" s="380" t="str">
        <f>IF(O3=2,"Autres","Others")</f>
        <v>Others</v>
      </c>
      <c r="D49" s="1822"/>
      <c r="E49" s="1822"/>
      <c r="F49" s="1822"/>
      <c r="G49" s="1822"/>
      <c r="H49" s="1822"/>
      <c r="I49" s="379"/>
      <c r="J49" s="379"/>
    </row>
    <row r="50" spans="2:10" ht="15.75" x14ac:dyDescent="0.2">
      <c r="B50" s="387"/>
      <c r="C50" s="382"/>
      <c r="D50" s="382"/>
      <c r="E50" s="382"/>
      <c r="F50" s="382"/>
      <c r="G50" s="1824" t="s">
        <v>179</v>
      </c>
      <c r="H50" s="1824"/>
      <c r="I50" s="383">
        <f>SUM(I42:I49)</f>
        <v>0</v>
      </c>
      <c r="J50" s="384">
        <f>SUM(J42:J49)</f>
        <v>0</v>
      </c>
    </row>
    <row r="51" spans="2:10" s="1" customFormat="1" ht="9.9499999999999993" customHeight="1" x14ac:dyDescent="0.2">
      <c r="B51" s="82"/>
      <c r="J51" s="390"/>
    </row>
    <row r="52" spans="2:10" ht="18" x14ac:dyDescent="0.2">
      <c r="B52" s="376" t="s">
        <v>208</v>
      </c>
      <c r="C52" s="1821" t="str">
        <f>IF(O3=2,"Équipement de bureau","Office Equipment")</f>
        <v>Office Equipment</v>
      </c>
      <c r="D52" s="1821"/>
      <c r="E52" s="1821"/>
      <c r="F52" s="1821"/>
      <c r="G52" s="1821"/>
      <c r="H52" s="1821"/>
      <c r="I52" s="1821"/>
      <c r="J52" s="1821"/>
    </row>
    <row r="53" spans="2:10" ht="16.5" customHeight="1" x14ac:dyDescent="0.2">
      <c r="B53" s="377" t="s">
        <v>209</v>
      </c>
      <c r="C53" s="378"/>
      <c r="D53" s="1822"/>
      <c r="E53" s="1822"/>
      <c r="F53" s="1822"/>
      <c r="G53" s="1822"/>
      <c r="H53" s="1822"/>
      <c r="I53" s="379"/>
      <c r="J53" s="379"/>
    </row>
    <row r="54" spans="2:10" ht="16.5" customHeight="1" x14ac:dyDescent="0.2">
      <c r="B54" s="377" t="s">
        <v>210</v>
      </c>
      <c r="C54" s="378"/>
      <c r="D54" s="1822"/>
      <c r="E54" s="1822"/>
      <c r="F54" s="1822"/>
      <c r="G54" s="1822"/>
      <c r="H54" s="1822"/>
      <c r="I54" s="379"/>
      <c r="J54" s="379"/>
    </row>
    <row r="55" spans="2:10" ht="16.5" customHeight="1" x14ac:dyDescent="0.2">
      <c r="B55" s="377" t="s">
        <v>211</v>
      </c>
      <c r="C55" s="378"/>
      <c r="D55" s="1822"/>
      <c r="E55" s="1822"/>
      <c r="F55" s="1822"/>
      <c r="G55" s="1822"/>
      <c r="H55" s="1822"/>
      <c r="I55" s="379"/>
      <c r="J55" s="379"/>
    </row>
    <row r="56" spans="2:10" ht="16.5" customHeight="1" x14ac:dyDescent="0.2">
      <c r="B56" s="377" t="s">
        <v>212</v>
      </c>
      <c r="C56" s="378"/>
      <c r="D56" s="1822"/>
      <c r="E56" s="1822"/>
      <c r="F56" s="1822"/>
      <c r="G56" s="1822"/>
      <c r="H56" s="1822"/>
      <c r="I56" s="379"/>
      <c r="J56" s="379"/>
    </row>
    <row r="57" spans="2:10" ht="16.5" customHeight="1" x14ac:dyDescent="0.2">
      <c r="B57" s="377" t="s">
        <v>213</v>
      </c>
      <c r="C57" s="378"/>
      <c r="D57" s="1822"/>
      <c r="E57" s="1822"/>
      <c r="F57" s="1822"/>
      <c r="G57" s="1822"/>
      <c r="H57" s="1822"/>
      <c r="I57" s="379"/>
      <c r="J57" s="379"/>
    </row>
    <row r="58" spans="2:10" ht="16.5" customHeight="1" x14ac:dyDescent="0.2">
      <c r="B58" s="377" t="s">
        <v>214</v>
      </c>
      <c r="C58" s="378"/>
      <c r="D58" s="1822"/>
      <c r="E58" s="1822"/>
      <c r="F58" s="1822"/>
      <c r="G58" s="1822"/>
      <c r="H58" s="1822"/>
      <c r="I58" s="379"/>
      <c r="J58" s="379"/>
    </row>
    <row r="59" spans="2:10" ht="16.5" customHeight="1" x14ac:dyDescent="0.2">
      <c r="B59" s="377" t="s">
        <v>215</v>
      </c>
      <c r="C59" s="378"/>
      <c r="D59" s="1822"/>
      <c r="E59" s="1822"/>
      <c r="F59" s="1822"/>
      <c r="G59" s="1822"/>
      <c r="H59" s="1822"/>
      <c r="I59" s="379"/>
      <c r="J59" s="379"/>
    </row>
    <row r="60" spans="2:10" ht="16.5" customHeight="1" x14ac:dyDescent="0.2">
      <c r="B60" s="381" t="s">
        <v>216</v>
      </c>
      <c r="C60" s="380" t="str">
        <f>IF(O3=2,"Autres","Others")</f>
        <v>Others</v>
      </c>
      <c r="D60" s="1822"/>
      <c r="E60" s="1822"/>
      <c r="F60" s="1822"/>
      <c r="G60" s="1822"/>
      <c r="H60" s="1822"/>
      <c r="I60" s="379"/>
      <c r="J60" s="379"/>
    </row>
    <row r="61" spans="2:10" ht="15.75" x14ac:dyDescent="0.2">
      <c r="B61" s="387"/>
      <c r="C61" s="382"/>
      <c r="D61" s="382"/>
      <c r="E61" s="382"/>
      <c r="F61" s="382"/>
      <c r="G61" s="1824" t="s">
        <v>179</v>
      </c>
      <c r="H61" s="1824"/>
      <c r="I61" s="383">
        <f>+SUM(I53:I60)</f>
        <v>0</v>
      </c>
      <c r="J61" s="384">
        <f>+SUM(J53:J60)</f>
        <v>0</v>
      </c>
    </row>
    <row r="62" spans="2:10" ht="17.25" customHeight="1" x14ac:dyDescent="0.2">
      <c r="B62" s="80"/>
      <c r="C62" s="82"/>
      <c r="D62" s="82"/>
      <c r="E62" s="82"/>
      <c r="F62" s="82"/>
      <c r="G62" s="82"/>
      <c r="H62" s="82"/>
      <c r="I62" s="82"/>
      <c r="J62" s="391" t="s">
        <v>457</v>
      </c>
    </row>
    <row r="63" spans="2:10" ht="18" x14ac:dyDescent="0.2">
      <c r="B63" s="376" t="s">
        <v>217</v>
      </c>
      <c r="C63" s="1821" t="str">
        <f>IF(O3=2,"Équipement sportif","Sport Equipment")</f>
        <v>Sport Equipment</v>
      </c>
      <c r="D63" s="1821"/>
      <c r="E63" s="1821"/>
      <c r="F63" s="1821"/>
      <c r="G63" s="1821"/>
      <c r="H63" s="1821"/>
      <c r="I63" s="1821"/>
      <c r="J63" s="1821"/>
    </row>
    <row r="64" spans="2:10" ht="16.5" customHeight="1" x14ac:dyDescent="0.2">
      <c r="B64" s="377" t="s">
        <v>218</v>
      </c>
      <c r="C64" s="378"/>
      <c r="D64" s="1822"/>
      <c r="E64" s="1822"/>
      <c r="F64" s="1822"/>
      <c r="G64" s="1822"/>
      <c r="H64" s="1822"/>
      <c r="I64" s="379"/>
      <c r="J64" s="379"/>
    </row>
    <row r="65" spans="2:10" ht="16.5" customHeight="1" x14ac:dyDescent="0.2">
      <c r="B65" s="377" t="s">
        <v>219</v>
      </c>
      <c r="C65" s="378"/>
      <c r="D65" s="1822"/>
      <c r="E65" s="1822"/>
      <c r="F65" s="1822"/>
      <c r="G65" s="1822"/>
      <c r="H65" s="1822"/>
      <c r="I65" s="379"/>
      <c r="J65" s="379"/>
    </row>
    <row r="66" spans="2:10" ht="16.5" customHeight="1" x14ac:dyDescent="0.2">
      <c r="B66" s="377" t="s">
        <v>220</v>
      </c>
      <c r="C66" s="378"/>
      <c r="D66" s="1822"/>
      <c r="E66" s="1822"/>
      <c r="F66" s="1822"/>
      <c r="G66" s="1822"/>
      <c r="H66" s="1822"/>
      <c r="I66" s="379"/>
      <c r="J66" s="379"/>
    </row>
    <row r="67" spans="2:10" ht="16.5" customHeight="1" x14ac:dyDescent="0.2">
      <c r="B67" s="377" t="s">
        <v>221</v>
      </c>
      <c r="C67" s="378"/>
      <c r="D67" s="1822"/>
      <c r="E67" s="1822"/>
      <c r="F67" s="1822"/>
      <c r="G67" s="1822"/>
      <c r="H67" s="1822"/>
      <c r="I67" s="379"/>
      <c r="J67" s="379"/>
    </row>
    <row r="68" spans="2:10" ht="16.5" customHeight="1" x14ac:dyDescent="0.2">
      <c r="B68" s="377" t="s">
        <v>222</v>
      </c>
      <c r="C68" s="378"/>
      <c r="D68" s="1822"/>
      <c r="E68" s="1822"/>
      <c r="F68" s="1822"/>
      <c r="G68" s="1822"/>
      <c r="H68" s="1822"/>
      <c r="I68" s="379"/>
      <c r="J68" s="379"/>
    </row>
    <row r="69" spans="2:10" ht="16.5" customHeight="1" x14ac:dyDescent="0.2">
      <c r="B69" s="377" t="s">
        <v>223</v>
      </c>
      <c r="C69" s="378"/>
      <c r="D69" s="1822"/>
      <c r="E69" s="1822"/>
      <c r="F69" s="1822"/>
      <c r="G69" s="1822"/>
      <c r="H69" s="1822"/>
      <c r="I69" s="379"/>
      <c r="J69" s="379"/>
    </row>
    <row r="70" spans="2:10" ht="16.5" customHeight="1" x14ac:dyDescent="0.2">
      <c r="B70" s="377" t="s">
        <v>224</v>
      </c>
      <c r="C70" s="378"/>
      <c r="D70" s="1822"/>
      <c r="E70" s="1822"/>
      <c r="F70" s="1822"/>
      <c r="G70" s="1822"/>
      <c r="H70" s="1822"/>
      <c r="I70" s="379"/>
      <c r="J70" s="379"/>
    </row>
    <row r="71" spans="2:10" ht="16.5" customHeight="1" x14ac:dyDescent="0.2">
      <c r="B71" s="381" t="s">
        <v>225</v>
      </c>
      <c r="C71" s="380" t="str">
        <f>IF(O3=2,"Autres","Others")</f>
        <v>Others</v>
      </c>
      <c r="D71" s="1822"/>
      <c r="E71" s="1822"/>
      <c r="F71" s="1822"/>
      <c r="G71" s="1822"/>
      <c r="H71" s="1822"/>
      <c r="I71" s="379"/>
      <c r="J71" s="379"/>
    </row>
    <row r="72" spans="2:10" ht="15.75" x14ac:dyDescent="0.2">
      <c r="B72" s="387"/>
      <c r="C72" s="382"/>
      <c r="D72" s="392"/>
      <c r="E72" s="392"/>
      <c r="F72" s="392"/>
      <c r="G72" s="1824" t="s">
        <v>179</v>
      </c>
      <c r="H72" s="1824"/>
      <c r="I72" s="383">
        <f>SUM(I64:I71)</f>
        <v>0</v>
      </c>
      <c r="J72" s="384">
        <f>+SUM(J64:J71)</f>
        <v>0</v>
      </c>
    </row>
    <row r="73" spans="2:10" ht="9.9499999999999993" customHeight="1" x14ac:dyDescent="0.2">
      <c r="B73" s="5"/>
      <c r="C73" s="5"/>
      <c r="D73" s="5"/>
      <c r="E73" s="5"/>
      <c r="F73" s="5"/>
      <c r="G73" s="5"/>
      <c r="H73" s="5"/>
      <c r="I73" s="5"/>
      <c r="J73" s="5"/>
    </row>
    <row r="74" spans="2:10" ht="18" x14ac:dyDescent="0.2">
      <c r="B74" s="376" t="s">
        <v>226</v>
      </c>
      <c r="C74" s="1821" t="str">
        <f>IF(O3=2,"Équipement de photographie","Photography Equipment")</f>
        <v>Photography Equipment</v>
      </c>
      <c r="D74" s="1821"/>
      <c r="E74" s="1821"/>
      <c r="F74" s="1821"/>
      <c r="G74" s="1821"/>
      <c r="H74" s="1821"/>
      <c r="I74" s="1821"/>
      <c r="J74" s="1821"/>
    </row>
    <row r="75" spans="2:10" ht="16.5" customHeight="1" x14ac:dyDescent="0.2">
      <c r="B75" s="388" t="s">
        <v>227</v>
      </c>
      <c r="C75" s="378"/>
      <c r="D75" s="1822"/>
      <c r="E75" s="1822"/>
      <c r="F75" s="1822"/>
      <c r="G75" s="1822"/>
      <c r="H75" s="1822"/>
      <c r="I75" s="379"/>
      <c r="J75" s="379"/>
    </row>
    <row r="76" spans="2:10" ht="16.5" customHeight="1" x14ac:dyDescent="0.2">
      <c r="B76" s="388" t="s">
        <v>228</v>
      </c>
      <c r="C76" s="378"/>
      <c r="D76" s="1822"/>
      <c r="E76" s="1822"/>
      <c r="F76" s="1822"/>
      <c r="G76" s="1822"/>
      <c r="H76" s="1822"/>
      <c r="I76" s="379"/>
      <c r="J76" s="379"/>
    </row>
    <row r="77" spans="2:10" ht="16.5" customHeight="1" x14ac:dyDescent="0.2">
      <c r="B77" s="388" t="s">
        <v>229</v>
      </c>
      <c r="C77" s="378"/>
      <c r="D77" s="1822"/>
      <c r="E77" s="1822"/>
      <c r="F77" s="1822"/>
      <c r="G77" s="1822"/>
      <c r="H77" s="1822"/>
      <c r="I77" s="379"/>
      <c r="J77" s="379"/>
    </row>
    <row r="78" spans="2:10" ht="16.5" customHeight="1" x14ac:dyDescent="0.2">
      <c r="B78" s="388" t="s">
        <v>230</v>
      </c>
      <c r="C78" s="378"/>
      <c r="D78" s="1822"/>
      <c r="E78" s="1822"/>
      <c r="F78" s="1822"/>
      <c r="G78" s="1822"/>
      <c r="H78" s="1822"/>
      <c r="I78" s="379"/>
      <c r="J78" s="379"/>
    </row>
    <row r="79" spans="2:10" ht="16.5" customHeight="1" x14ac:dyDescent="0.2">
      <c r="B79" s="388" t="s">
        <v>231</v>
      </c>
      <c r="C79" s="378"/>
      <c r="D79" s="1822"/>
      <c r="E79" s="1822"/>
      <c r="F79" s="1822"/>
      <c r="G79" s="1822"/>
      <c r="H79" s="1822"/>
      <c r="I79" s="379"/>
      <c r="J79" s="379"/>
    </row>
    <row r="80" spans="2:10" ht="16.5" customHeight="1" x14ac:dyDescent="0.2">
      <c r="B80" s="388" t="s">
        <v>232</v>
      </c>
      <c r="C80" s="378"/>
      <c r="D80" s="1822"/>
      <c r="E80" s="1822"/>
      <c r="F80" s="1822"/>
      <c r="G80" s="1822"/>
      <c r="H80" s="1822"/>
      <c r="I80" s="379"/>
      <c r="J80" s="379"/>
    </row>
    <row r="81" spans="2:10" ht="16.5" customHeight="1" x14ac:dyDescent="0.2">
      <c r="B81" s="388" t="s">
        <v>233</v>
      </c>
      <c r="C81" s="380" t="str">
        <f>IF(O3=2,"Accessoires","Accessories")</f>
        <v>Accessories</v>
      </c>
      <c r="D81" s="1822"/>
      <c r="E81" s="1822"/>
      <c r="F81" s="1822"/>
      <c r="G81" s="1822"/>
      <c r="H81" s="1822"/>
      <c r="I81" s="379"/>
      <c r="J81" s="379"/>
    </row>
    <row r="82" spans="2:10" ht="16.5" customHeight="1" x14ac:dyDescent="0.2">
      <c r="B82" s="389" t="s">
        <v>234</v>
      </c>
      <c r="C82" s="380" t="str">
        <f>IF(O3=2,"Autres","Others")</f>
        <v>Others</v>
      </c>
      <c r="D82" s="1822"/>
      <c r="E82" s="1822"/>
      <c r="F82" s="1822"/>
      <c r="G82" s="1822"/>
      <c r="H82" s="1822"/>
      <c r="I82" s="379"/>
      <c r="J82" s="379"/>
    </row>
    <row r="83" spans="2:10" ht="15.75" x14ac:dyDescent="0.2">
      <c r="B83" s="387"/>
      <c r="C83" s="382"/>
      <c r="D83" s="382"/>
      <c r="E83" s="382"/>
      <c r="F83" s="382"/>
      <c r="G83" s="1824" t="s">
        <v>179</v>
      </c>
      <c r="H83" s="1824"/>
      <c r="I83" s="383">
        <f>+SUM(I75:I82)</f>
        <v>0</v>
      </c>
      <c r="J83" s="384">
        <f>+SUM(J75:J82)</f>
        <v>0</v>
      </c>
    </row>
    <row r="84" spans="2:10" ht="9.9499999999999993" customHeight="1" x14ac:dyDescent="0.2">
      <c r="B84" s="393"/>
      <c r="I84" s="270"/>
      <c r="J84" s="394"/>
    </row>
    <row r="85" spans="2:10" ht="18" x14ac:dyDescent="0.2">
      <c r="B85" s="376" t="s">
        <v>235</v>
      </c>
      <c r="C85" s="1821" t="str">
        <f>IF(O3=2,"Équipement de plein-air","Field Equipment")</f>
        <v>Field Equipment</v>
      </c>
      <c r="D85" s="1821"/>
      <c r="E85" s="1821"/>
      <c r="F85" s="1821"/>
      <c r="G85" s="1821"/>
      <c r="H85" s="1821"/>
      <c r="I85" s="1821"/>
      <c r="J85" s="1821"/>
    </row>
    <row r="86" spans="2:10" ht="16.5" customHeight="1" x14ac:dyDescent="0.2">
      <c r="B86" s="377" t="s">
        <v>236</v>
      </c>
      <c r="C86" s="378"/>
      <c r="D86" s="1822"/>
      <c r="E86" s="1822"/>
      <c r="F86" s="1822"/>
      <c r="G86" s="1822"/>
      <c r="H86" s="1822"/>
      <c r="I86" s="379"/>
      <c r="J86" s="379"/>
    </row>
    <row r="87" spans="2:10" ht="16.5" customHeight="1" x14ac:dyDescent="0.2">
      <c r="B87" s="377" t="s">
        <v>237</v>
      </c>
      <c r="C87" s="378"/>
      <c r="D87" s="1822"/>
      <c r="E87" s="1822"/>
      <c r="F87" s="1822"/>
      <c r="G87" s="1822"/>
      <c r="H87" s="1822"/>
      <c r="I87" s="379"/>
      <c r="J87" s="379"/>
    </row>
    <row r="88" spans="2:10" ht="16.5" customHeight="1" x14ac:dyDescent="0.2">
      <c r="B88" s="377" t="s">
        <v>238</v>
      </c>
      <c r="C88" s="378"/>
      <c r="D88" s="1822"/>
      <c r="E88" s="1822"/>
      <c r="F88" s="1822"/>
      <c r="G88" s="1822"/>
      <c r="H88" s="1822"/>
      <c r="I88" s="379"/>
      <c r="J88" s="379"/>
    </row>
    <row r="89" spans="2:10" ht="16.5" customHeight="1" x14ac:dyDescent="0.2">
      <c r="B89" s="377" t="s">
        <v>239</v>
      </c>
      <c r="C89" s="378"/>
      <c r="D89" s="1822"/>
      <c r="E89" s="1822"/>
      <c r="F89" s="1822"/>
      <c r="G89" s="1822"/>
      <c r="H89" s="1822"/>
      <c r="I89" s="379"/>
      <c r="J89" s="379"/>
    </row>
    <row r="90" spans="2:10" ht="16.5" customHeight="1" x14ac:dyDescent="0.2">
      <c r="B90" s="377" t="s">
        <v>240</v>
      </c>
      <c r="C90" s="378"/>
      <c r="D90" s="1822"/>
      <c r="E90" s="1822"/>
      <c r="F90" s="1822"/>
      <c r="G90" s="1822"/>
      <c r="H90" s="1822"/>
      <c r="I90" s="379"/>
      <c r="J90" s="379"/>
    </row>
    <row r="91" spans="2:10" ht="16.5" customHeight="1" x14ac:dyDescent="0.2">
      <c r="B91" s="377" t="s">
        <v>241</v>
      </c>
      <c r="C91" s="378"/>
      <c r="D91" s="1822"/>
      <c r="E91" s="1822"/>
      <c r="F91" s="1822"/>
      <c r="G91" s="1822"/>
      <c r="H91" s="1822"/>
      <c r="I91" s="379"/>
      <c r="J91" s="379"/>
    </row>
    <row r="92" spans="2:10" ht="16.5" customHeight="1" x14ac:dyDescent="0.2">
      <c r="B92" s="377" t="s">
        <v>242</v>
      </c>
      <c r="C92" s="378"/>
      <c r="D92" s="1822"/>
      <c r="E92" s="1822"/>
      <c r="F92" s="1822"/>
      <c r="G92" s="1822"/>
      <c r="H92" s="1822"/>
      <c r="I92" s="379"/>
      <c r="J92" s="379"/>
    </row>
    <row r="93" spans="2:10" ht="16.5" customHeight="1" x14ac:dyDescent="0.2">
      <c r="B93" s="381" t="s">
        <v>243</v>
      </c>
      <c r="C93" s="380" t="str">
        <f>IF(O3=2,"Autres","Others")</f>
        <v>Others</v>
      </c>
      <c r="D93" s="1822"/>
      <c r="E93" s="1822"/>
      <c r="F93" s="1822"/>
      <c r="G93" s="1822"/>
      <c r="H93" s="1822"/>
      <c r="I93" s="379"/>
      <c r="J93" s="379"/>
    </row>
    <row r="94" spans="2:10" ht="15.75" x14ac:dyDescent="0.2">
      <c r="B94" s="387"/>
      <c r="C94" s="382"/>
      <c r="D94" s="392"/>
      <c r="E94" s="392"/>
      <c r="F94" s="392"/>
      <c r="G94" s="1824" t="s">
        <v>179</v>
      </c>
      <c r="H94" s="1824"/>
      <c r="I94" s="383">
        <f>SUM(I86:I93)</f>
        <v>0</v>
      </c>
      <c r="J94" s="384">
        <f>+SUM(J86:J93)</f>
        <v>0</v>
      </c>
    </row>
    <row r="95" spans="2:10" ht="9.9499999999999993" customHeight="1" x14ac:dyDescent="0.2">
      <c r="B95" s="80"/>
      <c r="I95" s="270"/>
      <c r="J95" s="270"/>
    </row>
    <row r="96" spans="2:10" ht="18" x14ac:dyDescent="0.2">
      <c r="B96" s="376" t="s">
        <v>244</v>
      </c>
      <c r="C96" s="1821" t="str">
        <f>IF(O3=2,"Équipement électronique","Electronic Equipment")</f>
        <v>Electronic Equipment</v>
      </c>
      <c r="D96" s="1821"/>
      <c r="E96" s="1821"/>
      <c r="F96" s="1821"/>
      <c r="G96" s="1821"/>
      <c r="H96" s="1821"/>
      <c r="I96" s="1821"/>
      <c r="J96" s="1821"/>
    </row>
    <row r="97" spans="2:10" ht="16.5" customHeight="1" x14ac:dyDescent="0.2">
      <c r="B97" s="377" t="s">
        <v>245</v>
      </c>
      <c r="C97" s="395"/>
      <c r="D97" s="1822"/>
      <c r="E97" s="1822"/>
      <c r="F97" s="1822"/>
      <c r="G97" s="1822"/>
      <c r="H97" s="1822"/>
      <c r="I97" s="379"/>
      <c r="J97" s="379"/>
    </row>
    <row r="98" spans="2:10" ht="16.5" customHeight="1" x14ac:dyDescent="0.2">
      <c r="B98" s="377" t="s">
        <v>246</v>
      </c>
      <c r="C98" s="395"/>
      <c r="D98" s="1822"/>
      <c r="E98" s="1822"/>
      <c r="F98" s="1822"/>
      <c r="G98" s="1822"/>
      <c r="H98" s="1822"/>
      <c r="I98" s="379"/>
      <c r="J98" s="379"/>
    </row>
    <row r="99" spans="2:10" ht="16.5" customHeight="1" x14ac:dyDescent="0.2">
      <c r="B99" s="377" t="s">
        <v>247</v>
      </c>
      <c r="C99" s="395"/>
      <c r="D99" s="1822"/>
      <c r="E99" s="1822"/>
      <c r="F99" s="1822"/>
      <c r="G99" s="1822"/>
      <c r="H99" s="1822"/>
      <c r="I99" s="379"/>
      <c r="J99" s="379"/>
    </row>
    <row r="100" spans="2:10" ht="16.5" customHeight="1" x14ac:dyDescent="0.2">
      <c r="B100" s="377" t="s">
        <v>248</v>
      </c>
      <c r="C100" s="395"/>
      <c r="D100" s="1822"/>
      <c r="E100" s="1822"/>
      <c r="F100" s="1822"/>
      <c r="G100" s="1822"/>
      <c r="H100" s="1822"/>
      <c r="I100" s="379"/>
      <c r="J100" s="379"/>
    </row>
    <row r="101" spans="2:10" ht="16.5" customHeight="1" x14ac:dyDescent="0.2">
      <c r="B101" s="377" t="s">
        <v>249</v>
      </c>
      <c r="C101" s="395"/>
      <c r="D101" s="1822"/>
      <c r="E101" s="1822"/>
      <c r="F101" s="1822"/>
      <c r="G101" s="1822"/>
      <c r="H101" s="1822"/>
      <c r="I101" s="379"/>
      <c r="J101" s="379"/>
    </row>
    <row r="102" spans="2:10" ht="16.5" customHeight="1" x14ac:dyDescent="0.2">
      <c r="B102" s="377" t="s">
        <v>250</v>
      </c>
      <c r="C102" s="395"/>
      <c r="D102" s="1822"/>
      <c r="E102" s="1822"/>
      <c r="F102" s="1822"/>
      <c r="G102" s="1822"/>
      <c r="H102" s="1822"/>
      <c r="I102" s="379"/>
      <c r="J102" s="379"/>
    </row>
    <row r="103" spans="2:10" ht="16.5" customHeight="1" x14ac:dyDescent="0.2">
      <c r="B103" s="377" t="s">
        <v>251</v>
      </c>
      <c r="C103" s="207" t="str">
        <f>IF(O3=2,"Accessoires","Accessories")</f>
        <v>Accessories</v>
      </c>
      <c r="D103" s="1822"/>
      <c r="E103" s="1822"/>
      <c r="F103" s="1822"/>
      <c r="G103" s="1822"/>
      <c r="H103" s="1822"/>
      <c r="I103" s="379"/>
      <c r="J103" s="379"/>
    </row>
    <row r="104" spans="2:10" ht="16.5" customHeight="1" x14ac:dyDescent="0.2">
      <c r="B104" s="381" t="s">
        <v>252</v>
      </c>
      <c r="C104" s="207" t="str">
        <f>IF(O3=2,"Autres","Others")</f>
        <v>Others</v>
      </c>
      <c r="D104" s="1822"/>
      <c r="E104" s="1822"/>
      <c r="F104" s="1822"/>
      <c r="G104" s="1822"/>
      <c r="H104" s="1822"/>
      <c r="I104" s="379"/>
      <c r="J104" s="379"/>
    </row>
    <row r="105" spans="2:10" ht="15.75" x14ac:dyDescent="0.2">
      <c r="B105" s="387"/>
      <c r="C105" s="382"/>
      <c r="D105" s="392"/>
      <c r="E105" s="392"/>
      <c r="F105" s="392"/>
      <c r="G105" s="1824" t="s">
        <v>179</v>
      </c>
      <c r="H105" s="1824"/>
      <c r="I105" s="383">
        <f>SUM(I97:I104)</f>
        <v>0</v>
      </c>
      <c r="J105" s="384">
        <f>+SUM(J97:J104)</f>
        <v>0</v>
      </c>
    </row>
    <row r="106" spans="2:10" ht="15" customHeight="1" x14ac:dyDescent="0.2">
      <c r="B106" s="80"/>
      <c r="I106" s="270"/>
      <c r="J106" s="391" t="s">
        <v>456</v>
      </c>
    </row>
    <row r="107" spans="2:10" ht="18" x14ac:dyDescent="0.2">
      <c r="B107" s="376" t="s">
        <v>253</v>
      </c>
      <c r="C107" s="1821" t="str">
        <f>IF(O3=2,"Instruments de musique &amp; Accessoires","Music Instruments &amp; Accessories")</f>
        <v>Music Instruments &amp; Accessories</v>
      </c>
      <c r="D107" s="1821"/>
      <c r="E107" s="1821"/>
      <c r="F107" s="1821"/>
      <c r="G107" s="1821"/>
      <c r="H107" s="1821"/>
      <c r="I107" s="1821"/>
      <c r="J107" s="1821"/>
    </row>
    <row r="108" spans="2:10" ht="16.5" customHeight="1" x14ac:dyDescent="0.2">
      <c r="B108" s="388" t="s">
        <v>254</v>
      </c>
      <c r="C108" s="395"/>
      <c r="D108" s="1822"/>
      <c r="E108" s="1822"/>
      <c r="F108" s="1822"/>
      <c r="G108" s="1822"/>
      <c r="H108" s="1822"/>
      <c r="I108" s="379"/>
      <c r="J108" s="379"/>
    </row>
    <row r="109" spans="2:10" ht="16.5" customHeight="1" x14ac:dyDescent="0.2">
      <c r="B109" s="388" t="s">
        <v>255</v>
      </c>
      <c r="C109" s="395"/>
      <c r="D109" s="1822"/>
      <c r="E109" s="1822"/>
      <c r="F109" s="1822"/>
      <c r="G109" s="1822"/>
      <c r="H109" s="1822"/>
      <c r="I109" s="379"/>
      <c r="J109" s="379"/>
    </row>
    <row r="110" spans="2:10" ht="16.5" customHeight="1" x14ac:dyDescent="0.2">
      <c r="B110" s="388" t="s">
        <v>256</v>
      </c>
      <c r="C110" s="395"/>
      <c r="D110" s="1822"/>
      <c r="E110" s="1822"/>
      <c r="F110" s="1822"/>
      <c r="G110" s="1822"/>
      <c r="H110" s="1822"/>
      <c r="I110" s="379"/>
      <c r="J110" s="379"/>
    </row>
    <row r="111" spans="2:10" ht="16.5" customHeight="1" x14ac:dyDescent="0.2">
      <c r="B111" s="388" t="s">
        <v>257</v>
      </c>
      <c r="C111" s="395"/>
      <c r="D111" s="1822"/>
      <c r="E111" s="1822"/>
      <c r="F111" s="1822"/>
      <c r="G111" s="1822"/>
      <c r="H111" s="1822"/>
      <c r="I111" s="379"/>
      <c r="J111" s="379"/>
    </row>
    <row r="112" spans="2:10" ht="16.5" customHeight="1" x14ac:dyDescent="0.2">
      <c r="B112" s="388" t="s">
        <v>258</v>
      </c>
      <c r="C112" s="395"/>
      <c r="D112" s="1822"/>
      <c r="E112" s="1822"/>
      <c r="F112" s="1822"/>
      <c r="G112" s="1822"/>
      <c r="H112" s="1822"/>
      <c r="I112" s="379"/>
      <c r="J112" s="379"/>
    </row>
    <row r="113" spans="2:10" ht="16.5" customHeight="1" x14ac:dyDescent="0.2">
      <c r="B113" s="388" t="s">
        <v>259</v>
      </c>
      <c r="C113" s="395"/>
      <c r="D113" s="1822"/>
      <c r="E113" s="1822"/>
      <c r="F113" s="1822"/>
      <c r="G113" s="1822"/>
      <c r="H113" s="1822"/>
      <c r="I113" s="379"/>
      <c r="J113" s="379"/>
    </row>
    <row r="114" spans="2:10" ht="16.5" customHeight="1" x14ac:dyDescent="0.2">
      <c r="B114" s="388" t="s">
        <v>260</v>
      </c>
      <c r="C114" s="395"/>
      <c r="D114" s="1822"/>
      <c r="E114" s="1822"/>
      <c r="F114" s="1822"/>
      <c r="G114" s="1822"/>
      <c r="H114" s="1822"/>
      <c r="I114" s="379"/>
      <c r="J114" s="379"/>
    </row>
    <row r="115" spans="2:10" ht="16.5" customHeight="1" x14ac:dyDescent="0.2">
      <c r="B115" s="388" t="s">
        <v>261</v>
      </c>
      <c r="C115" s="395"/>
      <c r="D115" s="1822"/>
      <c r="E115" s="1822"/>
      <c r="F115" s="1822"/>
      <c r="G115" s="1822"/>
      <c r="H115" s="1822"/>
      <c r="I115" s="379"/>
      <c r="J115" s="379"/>
    </row>
    <row r="116" spans="2:10" ht="16.5" customHeight="1" x14ac:dyDescent="0.2">
      <c r="B116" s="388" t="s">
        <v>262</v>
      </c>
      <c r="C116" s="395"/>
      <c r="D116" s="1822"/>
      <c r="E116" s="1822"/>
      <c r="F116" s="1822"/>
      <c r="G116" s="1822"/>
      <c r="H116" s="1822"/>
      <c r="I116" s="379"/>
      <c r="J116" s="379"/>
    </row>
    <row r="117" spans="2:10" ht="16.5" customHeight="1" x14ac:dyDescent="0.2">
      <c r="B117" s="388" t="s">
        <v>263</v>
      </c>
      <c r="C117" s="395"/>
      <c r="D117" s="1822"/>
      <c r="E117" s="1822"/>
      <c r="F117" s="1822"/>
      <c r="G117" s="1822"/>
      <c r="H117" s="1822"/>
      <c r="I117" s="379"/>
      <c r="J117" s="379"/>
    </row>
    <row r="118" spans="2:10" ht="16.5" customHeight="1" x14ac:dyDescent="0.2">
      <c r="B118" s="388" t="s">
        <v>264</v>
      </c>
      <c r="C118" s="395"/>
      <c r="D118" s="1822"/>
      <c r="E118" s="1822"/>
      <c r="F118" s="1822"/>
      <c r="G118" s="1822"/>
      <c r="H118" s="1822"/>
      <c r="I118" s="379"/>
      <c r="J118" s="379"/>
    </row>
    <row r="119" spans="2:10" ht="16.5" customHeight="1" x14ac:dyDescent="0.2">
      <c r="B119" s="388" t="s">
        <v>265</v>
      </c>
      <c r="C119" s="395"/>
      <c r="D119" s="1822"/>
      <c r="E119" s="1822"/>
      <c r="F119" s="1822"/>
      <c r="G119" s="1822"/>
      <c r="H119" s="1822"/>
      <c r="I119" s="379"/>
      <c r="J119" s="379"/>
    </row>
    <row r="120" spans="2:10" ht="16.5" customHeight="1" x14ac:dyDescent="0.2">
      <c r="B120" s="388" t="s">
        <v>266</v>
      </c>
      <c r="C120" s="395"/>
      <c r="D120" s="1822"/>
      <c r="E120" s="1822"/>
      <c r="F120" s="1822"/>
      <c r="G120" s="1822"/>
      <c r="H120" s="1822"/>
      <c r="I120" s="379"/>
      <c r="J120" s="379"/>
    </row>
    <row r="121" spans="2:10" ht="16.5" customHeight="1" x14ac:dyDescent="0.2">
      <c r="B121" s="388" t="s">
        <v>267</v>
      </c>
      <c r="C121" s="395"/>
      <c r="D121" s="1822"/>
      <c r="E121" s="1822"/>
      <c r="F121" s="1822"/>
      <c r="G121" s="1822"/>
      <c r="H121" s="1822"/>
      <c r="I121" s="379"/>
      <c r="J121" s="379"/>
    </row>
    <row r="122" spans="2:10" ht="16.5" customHeight="1" x14ac:dyDescent="0.2">
      <c r="B122" s="388" t="s">
        <v>268</v>
      </c>
      <c r="C122" s="207" t="str">
        <f>IF(O3=2,"Accessoires","Accessories")</f>
        <v>Accessories</v>
      </c>
      <c r="D122" s="1822"/>
      <c r="E122" s="1822"/>
      <c r="F122" s="1822"/>
      <c r="G122" s="1822"/>
      <c r="H122" s="1822"/>
      <c r="I122" s="379"/>
      <c r="J122" s="379"/>
    </row>
    <row r="123" spans="2:10" ht="16.5" customHeight="1" x14ac:dyDescent="0.2">
      <c r="B123" s="389" t="s">
        <v>269</v>
      </c>
      <c r="C123" s="207" t="str">
        <f>IF(O3=2,"Autres","Others")</f>
        <v>Others</v>
      </c>
      <c r="D123" s="1822"/>
      <c r="E123" s="1822"/>
      <c r="F123" s="1822"/>
      <c r="G123" s="1822"/>
      <c r="H123" s="1822"/>
      <c r="I123" s="379"/>
      <c r="J123" s="379"/>
    </row>
    <row r="124" spans="2:10" ht="15.75" x14ac:dyDescent="0.2">
      <c r="B124" s="387"/>
      <c r="C124" s="382"/>
      <c r="D124" s="382"/>
      <c r="E124" s="382"/>
      <c r="F124" s="382"/>
      <c r="G124" s="1824" t="s">
        <v>179</v>
      </c>
      <c r="H124" s="1824"/>
      <c r="I124" s="383">
        <f>+SUM(I108:I123)</f>
        <v>0</v>
      </c>
      <c r="J124" s="384">
        <f>+SUM(J108:J123)</f>
        <v>0</v>
      </c>
    </row>
    <row r="125" spans="2:10" ht="9.9499999999999993" customHeight="1" x14ac:dyDescent="0.2">
      <c r="B125" s="80"/>
      <c r="I125" s="270"/>
      <c r="J125" s="270"/>
    </row>
    <row r="126" spans="2:10" ht="18" x14ac:dyDescent="0.2">
      <c r="B126" s="376" t="s">
        <v>270</v>
      </c>
      <c r="C126" s="1821" t="str">
        <f>IF(O3=2,"Trophées &amp; Récompenses","Trophies &amp; Awards")</f>
        <v>Trophies &amp; Awards</v>
      </c>
      <c r="D126" s="1821"/>
      <c r="E126" s="1821"/>
      <c r="F126" s="1821"/>
      <c r="G126" s="1821"/>
      <c r="H126" s="1821"/>
      <c r="I126" s="1821"/>
      <c r="J126" s="1821"/>
    </row>
    <row r="127" spans="2:10" ht="16.5" customHeight="1" x14ac:dyDescent="0.2">
      <c r="B127" s="377" t="s">
        <v>271</v>
      </c>
      <c r="C127" s="378"/>
      <c r="D127" s="1822"/>
      <c r="E127" s="1822"/>
      <c r="F127" s="1822"/>
      <c r="G127" s="1822"/>
      <c r="H127" s="1822"/>
      <c r="I127" s="379"/>
      <c r="J127" s="379"/>
    </row>
    <row r="128" spans="2:10" ht="16.5" customHeight="1" x14ac:dyDescent="0.2">
      <c r="B128" s="377" t="s">
        <v>272</v>
      </c>
      <c r="C128" s="378"/>
      <c r="D128" s="1822"/>
      <c r="E128" s="1822"/>
      <c r="F128" s="1822"/>
      <c r="G128" s="1822"/>
      <c r="H128" s="1822"/>
      <c r="I128" s="379"/>
      <c r="J128" s="379"/>
    </row>
    <row r="129" spans="2:10" ht="16.5" customHeight="1" x14ac:dyDescent="0.2">
      <c r="B129" s="377" t="s">
        <v>273</v>
      </c>
      <c r="C129" s="378"/>
      <c r="D129" s="1822"/>
      <c r="E129" s="1822"/>
      <c r="F129" s="1822"/>
      <c r="G129" s="1822"/>
      <c r="H129" s="1822"/>
      <c r="I129" s="379"/>
      <c r="J129" s="379"/>
    </row>
    <row r="130" spans="2:10" ht="16.5" customHeight="1" x14ac:dyDescent="0.2">
      <c r="B130" s="377" t="s">
        <v>274</v>
      </c>
      <c r="C130" s="378"/>
      <c r="D130" s="1822"/>
      <c r="E130" s="1822"/>
      <c r="F130" s="1822"/>
      <c r="G130" s="1822"/>
      <c r="H130" s="1822"/>
      <c r="I130" s="379"/>
      <c r="J130" s="379"/>
    </row>
    <row r="131" spans="2:10" ht="16.5" customHeight="1" x14ac:dyDescent="0.2">
      <c r="B131" s="377" t="s">
        <v>275</v>
      </c>
      <c r="C131" s="378"/>
      <c r="D131" s="1822"/>
      <c r="E131" s="1822"/>
      <c r="F131" s="1822"/>
      <c r="G131" s="1822"/>
      <c r="H131" s="1822"/>
      <c r="I131" s="379"/>
      <c r="J131" s="379"/>
    </row>
    <row r="132" spans="2:10" ht="16.5" customHeight="1" x14ac:dyDescent="0.2">
      <c r="B132" s="377" t="s">
        <v>276</v>
      </c>
      <c r="C132" s="378"/>
      <c r="D132" s="1822"/>
      <c r="E132" s="1822"/>
      <c r="F132" s="1822"/>
      <c r="G132" s="1822"/>
      <c r="H132" s="1822"/>
      <c r="I132" s="379"/>
      <c r="J132" s="379"/>
    </row>
    <row r="133" spans="2:10" ht="16.5" customHeight="1" x14ac:dyDescent="0.2">
      <c r="B133" s="377" t="s">
        <v>277</v>
      </c>
      <c r="C133" s="378"/>
      <c r="D133" s="1822"/>
      <c r="E133" s="1822"/>
      <c r="F133" s="1822"/>
      <c r="G133" s="1822"/>
      <c r="H133" s="1822"/>
      <c r="I133" s="379"/>
      <c r="J133" s="379"/>
    </row>
    <row r="134" spans="2:10" ht="16.5" customHeight="1" x14ac:dyDescent="0.2">
      <c r="B134" s="377" t="s">
        <v>278</v>
      </c>
      <c r="C134" s="380" t="str">
        <f>IF(O3=2,"Autres","Others")</f>
        <v>Others</v>
      </c>
      <c r="D134" s="1822"/>
      <c r="E134" s="1822"/>
      <c r="F134" s="1822"/>
      <c r="G134" s="1822"/>
      <c r="H134" s="1822"/>
      <c r="I134" s="379"/>
      <c r="J134" s="379"/>
    </row>
    <row r="135" spans="2:10" ht="15.75" x14ac:dyDescent="0.2">
      <c r="B135" s="387"/>
      <c r="C135" s="382"/>
      <c r="D135" s="392"/>
      <c r="E135" s="392"/>
      <c r="F135" s="392"/>
      <c r="G135" s="1824" t="s">
        <v>179</v>
      </c>
      <c r="H135" s="1824"/>
      <c r="I135" s="383">
        <f>SUM(I127:I134)</f>
        <v>0</v>
      </c>
      <c r="J135" s="384">
        <f>+SUM(J127:J134)</f>
        <v>0</v>
      </c>
    </row>
    <row r="136" spans="2:10" ht="9.9499999999999993" customHeight="1" x14ac:dyDescent="0.2">
      <c r="B136" s="80"/>
      <c r="I136" s="270"/>
      <c r="J136" s="270"/>
    </row>
    <row r="137" spans="2:10" ht="18" x14ac:dyDescent="0.2">
      <c r="B137" s="376" t="s">
        <v>279</v>
      </c>
      <c r="C137" s="1821" t="str">
        <f>IF(O3=2,"Divers","Miscellaneous")</f>
        <v>Miscellaneous</v>
      </c>
      <c r="D137" s="1821"/>
      <c r="E137" s="1821"/>
      <c r="F137" s="1821"/>
      <c r="G137" s="1821"/>
      <c r="H137" s="1821"/>
      <c r="I137" s="1821"/>
      <c r="J137" s="1821"/>
    </row>
    <row r="138" spans="2:10" ht="16.5" customHeight="1" x14ac:dyDescent="0.2">
      <c r="B138" s="377" t="s">
        <v>280</v>
      </c>
      <c r="C138" s="378"/>
      <c r="D138" s="1822"/>
      <c r="E138" s="1822"/>
      <c r="F138" s="1822"/>
      <c r="G138" s="1822"/>
      <c r="H138" s="1822"/>
      <c r="I138" s="379"/>
      <c r="J138" s="379"/>
    </row>
    <row r="139" spans="2:10" ht="16.5" customHeight="1" x14ac:dyDescent="0.2">
      <c r="B139" s="377" t="s">
        <v>281</v>
      </c>
      <c r="C139" s="378"/>
      <c r="D139" s="1822"/>
      <c r="E139" s="1822"/>
      <c r="F139" s="1822"/>
      <c r="G139" s="1822"/>
      <c r="H139" s="1822"/>
      <c r="I139" s="379"/>
      <c r="J139" s="379"/>
    </row>
    <row r="140" spans="2:10" ht="16.5" customHeight="1" x14ac:dyDescent="0.2">
      <c r="B140" s="377" t="s">
        <v>282</v>
      </c>
      <c r="C140" s="378"/>
      <c r="D140" s="1822"/>
      <c r="E140" s="1822"/>
      <c r="F140" s="1822"/>
      <c r="G140" s="1822"/>
      <c r="H140" s="1822"/>
      <c r="I140" s="379"/>
      <c r="J140" s="379"/>
    </row>
    <row r="141" spans="2:10" ht="16.5" customHeight="1" x14ac:dyDescent="0.2">
      <c r="B141" s="377" t="s">
        <v>283</v>
      </c>
      <c r="C141" s="378"/>
      <c r="D141" s="1822"/>
      <c r="E141" s="1822"/>
      <c r="F141" s="1822"/>
      <c r="G141" s="1822"/>
      <c r="H141" s="1822"/>
      <c r="I141" s="379"/>
      <c r="J141" s="379"/>
    </row>
    <row r="142" spans="2:10" ht="16.5" customHeight="1" x14ac:dyDescent="0.2">
      <c r="B142" s="377" t="s">
        <v>284</v>
      </c>
      <c r="C142" s="378"/>
      <c r="D142" s="1822"/>
      <c r="E142" s="1822"/>
      <c r="F142" s="1822"/>
      <c r="G142" s="1822"/>
      <c r="H142" s="1822"/>
      <c r="I142" s="379"/>
      <c r="J142" s="379"/>
    </row>
    <row r="143" spans="2:10" ht="16.5" customHeight="1" x14ac:dyDescent="0.2">
      <c r="B143" s="377" t="s">
        <v>285</v>
      </c>
      <c r="C143" s="378"/>
      <c r="D143" s="1822"/>
      <c r="E143" s="1822"/>
      <c r="F143" s="1822"/>
      <c r="G143" s="1822"/>
      <c r="H143" s="1822"/>
      <c r="I143" s="379"/>
      <c r="J143" s="379"/>
    </row>
    <row r="144" spans="2:10" ht="16.5" customHeight="1" x14ac:dyDescent="0.2">
      <c r="B144" s="377" t="s">
        <v>286</v>
      </c>
      <c r="C144" s="378"/>
      <c r="D144" s="1822"/>
      <c r="E144" s="1822"/>
      <c r="F144" s="1822"/>
      <c r="G144" s="1822"/>
      <c r="H144" s="1822"/>
      <c r="I144" s="379"/>
      <c r="J144" s="379"/>
    </row>
    <row r="145" spans="2:14" ht="16.5" customHeight="1" x14ac:dyDescent="0.2">
      <c r="B145" s="381" t="s">
        <v>287</v>
      </c>
      <c r="C145" s="380" t="str">
        <f>IF(O3=2,"Autres","Others")</f>
        <v>Others</v>
      </c>
      <c r="D145" s="1822"/>
      <c r="E145" s="1822"/>
      <c r="F145" s="1822"/>
      <c r="G145" s="1822"/>
      <c r="H145" s="1822"/>
      <c r="I145" s="379"/>
      <c r="J145" s="379"/>
    </row>
    <row r="146" spans="2:14" ht="15.75" x14ac:dyDescent="0.2">
      <c r="B146" s="387"/>
      <c r="C146" s="382"/>
      <c r="D146" s="392"/>
      <c r="E146" s="392"/>
      <c r="F146" s="392"/>
      <c r="G146" s="1824" t="s">
        <v>179</v>
      </c>
      <c r="H146" s="1824"/>
      <c r="I146" s="383">
        <f>SUM(I138:I145)</f>
        <v>0</v>
      </c>
      <c r="J146" s="384">
        <f>+SUM(J138:J145)</f>
        <v>0</v>
      </c>
    </row>
    <row r="147" spans="2:14" ht="15.75" x14ac:dyDescent="0.2">
      <c r="B147" s="80"/>
      <c r="C147" s="82"/>
      <c r="G147" s="1826" t="s">
        <v>288</v>
      </c>
      <c r="H147" s="1826"/>
      <c r="I147" s="396">
        <f>SUM(I17,I28,I39,I50,I61,I72,I83,I94,I105,I124,I135,I146)</f>
        <v>0</v>
      </c>
      <c r="J147" s="396">
        <f>SUM(J17,J28,J39,J50,J61,J72,J83,J94,J105,J124,J135,J146)</f>
        <v>0</v>
      </c>
    </row>
    <row r="148" spans="2:14" ht="45.75" customHeight="1" x14ac:dyDescent="0.2">
      <c r="B148" s="1827"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27"/>
      <c r="D148" s="1827"/>
      <c r="E148" s="1827"/>
      <c r="F148" s="1827"/>
      <c r="G148" s="1827"/>
      <c r="H148" s="1827"/>
      <c r="I148" s="1827"/>
      <c r="J148" s="1827"/>
      <c r="K148" s="397"/>
      <c r="N148" s="12" t="s">
        <v>289</v>
      </c>
    </row>
    <row r="149" spans="2:14" ht="18.75" customHeight="1" x14ac:dyDescent="0.2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G147:H147"/>
    <mergeCell ref="B148:J148"/>
    <mergeCell ref="D138:H138"/>
    <mergeCell ref="D139:H139"/>
    <mergeCell ref="D140:H140"/>
    <mergeCell ref="D141:H141"/>
    <mergeCell ref="D142:H142"/>
    <mergeCell ref="D143:H143"/>
    <mergeCell ref="D144:H144"/>
    <mergeCell ref="D145:H145"/>
    <mergeCell ref="G146:H146"/>
    <mergeCell ref="D128:H128"/>
    <mergeCell ref="D129:H129"/>
    <mergeCell ref="D130:H130"/>
    <mergeCell ref="D131:H131"/>
    <mergeCell ref="D132:H132"/>
    <mergeCell ref="D133:H133"/>
    <mergeCell ref="D134:H134"/>
    <mergeCell ref="G135:H135"/>
    <mergeCell ref="C137:J137"/>
    <mergeCell ref="D118:H118"/>
    <mergeCell ref="D119:H119"/>
    <mergeCell ref="D120:H120"/>
    <mergeCell ref="D121:H121"/>
    <mergeCell ref="D122:H122"/>
    <mergeCell ref="D123:H123"/>
    <mergeCell ref="G124:H124"/>
    <mergeCell ref="C126:J126"/>
    <mergeCell ref="D127:H127"/>
    <mergeCell ref="D109:H109"/>
    <mergeCell ref="D110:H110"/>
    <mergeCell ref="D111:H111"/>
    <mergeCell ref="D112:H112"/>
    <mergeCell ref="D113:H113"/>
    <mergeCell ref="D114:H114"/>
    <mergeCell ref="D115:H115"/>
    <mergeCell ref="D116:H116"/>
    <mergeCell ref="D117:H117"/>
    <mergeCell ref="D99:H99"/>
    <mergeCell ref="D100:H100"/>
    <mergeCell ref="D101:H101"/>
    <mergeCell ref="D102:H102"/>
    <mergeCell ref="D103:H103"/>
    <mergeCell ref="D104:H104"/>
    <mergeCell ref="G105:H105"/>
    <mergeCell ref="C107:J107"/>
    <mergeCell ref="D108:H108"/>
    <mergeCell ref="D89:H89"/>
    <mergeCell ref="D90:H90"/>
    <mergeCell ref="D91:H91"/>
    <mergeCell ref="D92:H92"/>
    <mergeCell ref="D93:H93"/>
    <mergeCell ref="G94:H94"/>
    <mergeCell ref="C96:J96"/>
    <mergeCell ref="D97:H97"/>
    <mergeCell ref="D98:H98"/>
    <mergeCell ref="D79:H79"/>
    <mergeCell ref="D80:H80"/>
    <mergeCell ref="D81:H81"/>
    <mergeCell ref="D82:H82"/>
    <mergeCell ref="G83:H83"/>
    <mergeCell ref="C85:J85"/>
    <mergeCell ref="D86:H86"/>
    <mergeCell ref="D87:H87"/>
    <mergeCell ref="D88:H88"/>
    <mergeCell ref="D69:H69"/>
    <mergeCell ref="D70:H70"/>
    <mergeCell ref="D71:H71"/>
    <mergeCell ref="G72:H72"/>
    <mergeCell ref="C74:J74"/>
    <mergeCell ref="D75:H75"/>
    <mergeCell ref="D76:H76"/>
    <mergeCell ref="D77:H77"/>
    <mergeCell ref="D78:H78"/>
    <mergeCell ref="D59:H59"/>
    <mergeCell ref="D60:H60"/>
    <mergeCell ref="G61:H61"/>
    <mergeCell ref="C63:J63"/>
    <mergeCell ref="D64:H64"/>
    <mergeCell ref="D65:H65"/>
    <mergeCell ref="D66:H66"/>
    <mergeCell ref="D67:H67"/>
    <mergeCell ref="D68:H68"/>
    <mergeCell ref="D49:H49"/>
    <mergeCell ref="G50:H50"/>
    <mergeCell ref="C52:J52"/>
    <mergeCell ref="D53:H53"/>
    <mergeCell ref="D54:H54"/>
    <mergeCell ref="D55:H55"/>
    <mergeCell ref="D56:H56"/>
    <mergeCell ref="D57:H57"/>
    <mergeCell ref="D58:H58"/>
    <mergeCell ref="G39:H39"/>
    <mergeCell ref="C41:J41"/>
    <mergeCell ref="D42:H42"/>
    <mergeCell ref="D43:H43"/>
    <mergeCell ref="D44:H44"/>
    <mergeCell ref="D45:H45"/>
    <mergeCell ref="D46:H46"/>
    <mergeCell ref="D47:H47"/>
    <mergeCell ref="D48:H48"/>
    <mergeCell ref="C30:J30"/>
    <mergeCell ref="D31:H31"/>
    <mergeCell ref="D32:H32"/>
    <mergeCell ref="D33:H33"/>
    <mergeCell ref="D34:H34"/>
    <mergeCell ref="D35:H35"/>
    <mergeCell ref="D36:H36"/>
    <mergeCell ref="D37:H37"/>
    <mergeCell ref="D38:H38"/>
    <mergeCell ref="D20:H20"/>
    <mergeCell ref="D21:H21"/>
    <mergeCell ref="D22:H22"/>
    <mergeCell ref="D23:H23"/>
    <mergeCell ref="D24:H24"/>
    <mergeCell ref="D25:H25"/>
    <mergeCell ref="D26:H26"/>
    <mergeCell ref="D27:H27"/>
    <mergeCell ref="G28:H28"/>
    <mergeCell ref="D11:H11"/>
    <mergeCell ref="M11:S19"/>
    <mergeCell ref="D12:H12"/>
    <mergeCell ref="D13:H13"/>
    <mergeCell ref="D14:H14"/>
    <mergeCell ref="D15:H15"/>
    <mergeCell ref="D16:H16"/>
    <mergeCell ref="G17:H17"/>
    <mergeCell ref="C19:J19"/>
    <mergeCell ref="B1:J1"/>
    <mergeCell ref="B2:J2"/>
    <mergeCell ref="B3:J3"/>
    <mergeCell ref="B4:C4"/>
    <mergeCell ref="H4:K4"/>
    <mergeCell ref="D6:H6"/>
    <mergeCell ref="C8:J8"/>
    <mergeCell ref="D9:H9"/>
    <mergeCell ref="D10:H10"/>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B1:V133"/>
  <sheetViews>
    <sheetView showGridLines="0" showZeros="0" zoomScale="85" zoomScaleNormal="85" workbookViewId="0">
      <pane ySplit="6" topLeftCell="A7" activePane="bottomLeft" state="frozen"/>
      <selection pane="bottomLeft" activeCell="G69" sqref="G69"/>
    </sheetView>
  </sheetViews>
  <sheetFormatPr defaultColWidth="11.42578125" defaultRowHeight="12.75" x14ac:dyDescent="0.2"/>
  <cols>
    <col min="1" max="1" width="3" customWidth="1"/>
    <col min="2" max="2" width="85.85546875" customWidth="1"/>
    <col min="3" max="3" width="28.85546875" style="398" customWidth="1"/>
    <col min="4" max="4" width="4.85546875" style="398" customWidth="1"/>
    <col min="5" max="5" width="11.28515625" style="398" customWidth="1"/>
    <col min="6" max="6" width="15.7109375" style="398" customWidth="1"/>
    <col min="7" max="7" width="18.28515625" style="399" customWidth="1"/>
    <col min="8" max="8" width="1.42578125" customWidth="1"/>
    <col min="9" max="9" width="56.5703125" customWidth="1"/>
    <col min="10" max="10" width="9.140625" customWidth="1"/>
    <col min="11" max="11" width="15.140625" customWidth="1"/>
    <col min="12" max="13" width="9.140625" customWidth="1"/>
    <col min="14" max="14" width="23.28515625" customWidth="1"/>
    <col min="15" max="17" width="9.140625" hidden="1" customWidth="1"/>
    <col min="18" max="18" width="9.140625" customWidth="1"/>
    <col min="19" max="19" width="12.140625" customWidth="1"/>
    <col min="20" max="22" width="9.140625" customWidth="1"/>
    <col min="23" max="23" width="9.7109375" customWidth="1"/>
    <col min="24" max="33" width="9.140625" customWidth="1"/>
    <col min="34" max="34" width="15.7109375" customWidth="1"/>
    <col min="35" max="259" width="9.140625" customWidth="1"/>
  </cols>
  <sheetData>
    <row r="1" spans="2:22" ht="33.75" customHeight="1" x14ac:dyDescent="0.4">
      <c r="B1" s="1511" t="str">
        <f>IF(H4=2,"Rapport T3010 - Feuille de travail","T3010 Report - Worksheet")</f>
        <v>T3010 Report - Worksheet</v>
      </c>
      <c r="C1" s="1511"/>
      <c r="D1" s="1511"/>
      <c r="E1" s="1511"/>
      <c r="F1" s="1511"/>
      <c r="G1" s="1511"/>
    </row>
    <row r="2" spans="2:22" ht="33.75" customHeight="1" x14ac:dyDescent="0.2">
      <c r="B2" s="1717" t="str">
        <f>'Set up ~ Config'!B2:J2</f>
        <v xml:space="preserve">SSC </v>
      </c>
      <c r="C2" s="1717"/>
      <c r="D2" s="1717"/>
      <c r="E2" s="1717"/>
      <c r="F2" s="1717"/>
      <c r="G2" s="1717"/>
    </row>
    <row r="3" spans="2:22" ht="41.25" customHeight="1" x14ac:dyDescent="0.2">
      <c r="B3" s="1828" t="str">
        <f>'Cover~Page~Titre'!B58:Y58</f>
        <v>For  Fiscal Year Ending on 2025-08-31</v>
      </c>
      <c r="C3" s="1828"/>
      <c r="D3" s="1828"/>
      <c r="E3" s="1828"/>
      <c r="F3" s="1828"/>
      <c r="G3" s="1828"/>
      <c r="P3" s="20" t="s">
        <v>291</v>
      </c>
    </row>
    <row r="4" spans="2:22" ht="4.5" customHeight="1" x14ac:dyDescent="0.2">
      <c r="B4" s="20"/>
      <c r="C4" s="20"/>
      <c r="D4" s="20"/>
      <c r="E4" s="20"/>
      <c r="F4" s="20"/>
      <c r="G4" s="20"/>
      <c r="H4" s="211">
        <f>'Set up ~ Config'!L10</f>
        <v>1</v>
      </c>
      <c r="P4" s="20" t="s">
        <v>292</v>
      </c>
    </row>
    <row r="5" spans="2:22" s="1" customFormat="1" ht="8.25" customHeight="1" x14ac:dyDescent="0.2">
      <c r="C5" s="26"/>
      <c r="D5" s="26"/>
      <c r="E5" s="26"/>
      <c r="F5" s="26"/>
      <c r="G5" s="37"/>
      <c r="P5" s="2"/>
    </row>
    <row r="6" spans="2:22" s="1" customFormat="1" ht="28.5" customHeight="1" x14ac:dyDescent="0.2">
      <c r="B6" s="400" t="s">
        <v>138</v>
      </c>
      <c r="C6" s="401" t="str">
        <f>IF(H4=2,"ACC-9 
# Ligne", "ACC-9 
Line #")</f>
        <v>ACC-9 
Line #</v>
      </c>
      <c r="D6" s="401"/>
      <c r="E6" s="401" t="str">
        <f>IF(H4=2,"T3010
# ligne","T3010
Line #")</f>
        <v>T3010
Line #</v>
      </c>
      <c r="F6" s="402" t="str">
        <f>IF(H4=2,"Montant","Amount")</f>
        <v>Amount</v>
      </c>
      <c r="G6" s="402" t="str">
        <f>IF(H4=2,"Montant","Amount")</f>
        <v>Amount</v>
      </c>
      <c r="P6" s="20" t="s">
        <v>293</v>
      </c>
      <c r="S6" s="403"/>
      <c r="T6" s="403"/>
      <c r="U6" s="403"/>
      <c r="V6" s="403"/>
    </row>
    <row r="7" spans="2:22" s="1" customFormat="1" ht="32.25" customHeight="1" x14ac:dyDescent="0.2">
      <c r="B7" s="404" t="s">
        <v>294</v>
      </c>
      <c r="C7" s="1829"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29"/>
      <c r="E7" s="1829"/>
      <c r="F7" s="1829"/>
      <c r="G7" s="1829"/>
      <c r="I7" s="183"/>
      <c r="J7" s="183"/>
      <c r="K7" s="183"/>
      <c r="L7" s="183"/>
      <c r="M7" s="183"/>
      <c r="N7" s="183"/>
      <c r="P7" s="20"/>
      <c r="S7" s="403"/>
      <c r="T7" s="403"/>
      <c r="U7" s="403"/>
      <c r="V7" s="403"/>
    </row>
    <row r="8" spans="2:22" s="1" customFormat="1" ht="28.5" customHeight="1" x14ac:dyDescent="0.2">
      <c r="B8" s="1830" t="str">
        <f>IF(H4=2,"ACTIF","ASSETS")</f>
        <v>ASSETS</v>
      </c>
      <c r="C8" s="1830"/>
      <c r="D8" s="1830"/>
      <c r="E8" s="1830"/>
      <c r="F8" s="1830"/>
      <c r="G8" s="1830"/>
      <c r="I8" s="368"/>
      <c r="J8" s="368"/>
      <c r="K8" s="368"/>
      <c r="L8" s="368"/>
      <c r="M8" s="368"/>
      <c r="N8" s="368"/>
      <c r="P8" s="20"/>
      <c r="S8" s="403"/>
      <c r="T8" s="403"/>
      <c r="U8" s="403"/>
      <c r="V8" s="403"/>
    </row>
    <row r="9" spans="2:22" s="1" customFormat="1" ht="28.5" customHeight="1" x14ac:dyDescent="0.2">
      <c r="B9" s="405" t="str">
        <f>IF(H4=2,"Total de l’actif (incluant terrains et immeubles)","Total Assets (including land and buildings)")</f>
        <v>Total Assets (including land and buildings)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2">
      <c r="B10" s="1830" t="str">
        <f>IF(H4=2,"PASSIF","LIABILITIES")</f>
        <v>LIABILITIES</v>
      </c>
      <c r="C10" s="1830"/>
      <c r="D10" s="1830"/>
      <c r="E10" s="1830"/>
      <c r="F10" s="1830"/>
      <c r="G10" s="1830"/>
      <c r="I10" s="368"/>
      <c r="J10" s="368"/>
      <c r="K10" s="368"/>
      <c r="L10" s="368"/>
      <c r="M10" s="368"/>
      <c r="N10" s="368"/>
      <c r="P10" s="20"/>
      <c r="S10" s="403"/>
      <c r="T10" s="403"/>
      <c r="U10" s="403"/>
      <c r="V10" s="403"/>
    </row>
    <row r="11" spans="2:22" s="1" customFormat="1" ht="28.5" customHeight="1" x14ac:dyDescent="0.2">
      <c r="B11" s="405" t="str">
        <f>IF(H4=2,"Total du passif","Total Liabilities")</f>
        <v>Total Liabilities</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2">
      <c r="B12" s="1830" t="str">
        <f>IF(H4=2,"REVENUS","REVENUES")</f>
        <v>REVENUES</v>
      </c>
      <c r="C12" s="1830"/>
      <c r="D12" s="1830"/>
      <c r="E12" s="1830"/>
      <c r="F12" s="1830"/>
      <c r="G12" s="1830"/>
      <c r="I12" s="368"/>
      <c r="J12" s="368"/>
      <c r="K12" s="368"/>
      <c r="L12" s="368"/>
      <c r="M12" s="368"/>
      <c r="N12" s="368"/>
      <c r="P12" s="20"/>
      <c r="S12" s="403"/>
      <c r="T12" s="403"/>
      <c r="U12" s="403"/>
      <c r="V12" s="403"/>
    </row>
    <row r="13" spans="2:22" s="1" customFormat="1" ht="38.25" customHeight="1" x14ac:dyDescent="0.2">
      <c r="B13" s="40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2">
      <c r="B14" s="405" t="str">
        <f>IF(H4=2,"Total des montants reçus d'autres organismes de bienfaisance enregistrés","Total Amount Received From Other Registered Charities")</f>
        <v>Total Amount Received From Other Registered Charities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2">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2">
      <c r="B16" s="405" t="str">
        <f>IF(H4=2,"Total des revenus provenant d'un gouvernement","Total revenue received from government")</f>
        <v>Total revenue received from government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2">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2">
      <c r="B18" s="405" t="str">
        <f>IF(H4=2,"Total des montants des collectes de fonds pour lesquels l'organisme n'a pas délivré de reçus aux fins de l'impôt","Total non tax-receipted revenue from fundraising")</f>
        <v>Total non tax-receipted revenue from fundraising</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2">
      <c r="B19" s="40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406"/>
      <c r="D19" s="407" t="s">
        <v>156</v>
      </c>
      <c r="E19" s="406">
        <v>4640</v>
      </c>
      <c r="F19" s="408"/>
      <c r="G19" s="409">
        <f>G63</f>
        <v>0</v>
      </c>
      <c r="P19" s="20"/>
      <c r="S19" s="403"/>
      <c r="T19" s="403"/>
      <c r="U19" s="403"/>
      <c r="V19" s="403"/>
    </row>
    <row r="20" spans="2:22" s="1" customFormat="1" ht="38.25" customHeight="1" x14ac:dyDescent="0.2">
      <c r="B20" s="405" t="str">
        <f>IF(H4=2,"Tout autre revenu qui n'est pas compris dans les montants ci-dessus","Other revenue not already included in the amounts above")</f>
        <v>Other revenue not already included in the amounts above</v>
      </c>
      <c r="C20" s="410">
        <v>4699</v>
      </c>
      <c r="D20" s="406" t="s">
        <v>157</v>
      </c>
      <c r="E20" s="406">
        <v>4650</v>
      </c>
      <c r="F20" s="408"/>
      <c r="G20" s="409">
        <f>G64+G57</f>
        <v>0</v>
      </c>
      <c r="P20" s="20"/>
      <c r="S20" s="403"/>
      <c r="T20" s="403"/>
      <c r="U20" s="403"/>
      <c r="V20" s="403"/>
    </row>
    <row r="21" spans="2:22" s="1" customFormat="1" ht="38.25" customHeight="1" x14ac:dyDescent="0.2">
      <c r="B21" s="412" t="str">
        <f>IF(H4=2,"Total des revenus","Total Revenue")</f>
        <v>Total Revenue</v>
      </c>
      <c r="C21" s="413" t="str">
        <f>IF(H4=2,"Somme (c) à (j)","Sum (c) to (j)")</f>
        <v>Sum (c) to (j)</v>
      </c>
      <c r="D21" s="413" t="s">
        <v>158</v>
      </c>
      <c r="E21" s="413">
        <v>4700</v>
      </c>
      <c r="F21" s="414"/>
      <c r="G21" s="415">
        <f>SUM(G13:G20)</f>
        <v>0</v>
      </c>
      <c r="K21" s="37"/>
      <c r="P21" s="20"/>
      <c r="S21" s="403"/>
      <c r="T21" s="403"/>
      <c r="U21" s="403"/>
      <c r="V21" s="403"/>
    </row>
    <row r="22" spans="2:22" s="1" customFormat="1" ht="28.5" customHeight="1" x14ac:dyDescent="0.2">
      <c r="B22" s="1830" t="str">
        <f>IF(H4=2,"DÉPENSES","EXPENDITURES")</f>
        <v>EXPENDITURES</v>
      </c>
      <c r="C22" s="1830"/>
      <c r="D22" s="1830"/>
      <c r="E22" s="1830"/>
      <c r="F22" s="1830"/>
      <c r="G22" s="1830"/>
      <c r="P22" s="20"/>
      <c r="S22" s="403"/>
      <c r="T22" s="403"/>
      <c r="U22" s="403"/>
      <c r="V22" s="403"/>
    </row>
    <row r="23" spans="2:22" s="1" customFormat="1" ht="38.25" customHeight="1" x14ac:dyDescent="0.2">
      <c r="B23" s="416" t="str">
        <f>IF(H4=2,"Total des dépenses pour des honoraires de professionnels et de consultants","Professional And Consulting Fees")</f>
        <v>Professional And Consulting Fees</v>
      </c>
      <c r="C23" s="406">
        <v>5120</v>
      </c>
      <c r="D23" s="208" t="s">
        <v>159</v>
      </c>
      <c r="E23" s="406">
        <v>4860</v>
      </c>
      <c r="F23" s="408"/>
      <c r="G23" s="409">
        <f>G73</f>
        <v>0</v>
      </c>
      <c r="P23" s="20"/>
      <c r="S23" s="403"/>
      <c r="T23" s="403"/>
      <c r="U23" s="403"/>
      <c r="V23" s="403"/>
    </row>
    <row r="24" spans="2:22" s="1" customFormat="1" ht="38.25" customHeight="1" x14ac:dyDescent="0.2">
      <c r="B24" s="416" t="str">
        <f>IF(H4=2,"Total des dépenses pour les frais de déplacement et d'utilisation de véhicules","Travel and Vehicle expenses")</f>
        <v>Travel and Vehicle expenses</v>
      </c>
      <c r="C24" s="406">
        <v>5150</v>
      </c>
      <c r="D24" s="208" t="s">
        <v>299</v>
      </c>
      <c r="E24" s="406">
        <v>4810</v>
      </c>
      <c r="F24" s="408"/>
      <c r="G24" s="409">
        <f>G68</f>
        <v>0</v>
      </c>
      <c r="P24" s="20"/>
      <c r="S24" s="403"/>
      <c r="T24" s="403"/>
      <c r="U24" s="403"/>
      <c r="V24" s="403"/>
    </row>
    <row r="25" spans="2:22" s="1" customFormat="1" ht="38.25" customHeight="1" x14ac:dyDescent="0.2">
      <c r="B25" s="40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406" t="s">
        <v>515</v>
      </c>
      <c r="D25" s="208" t="s">
        <v>300</v>
      </c>
      <c r="E25" s="406">
        <v>4920</v>
      </c>
      <c r="F25" s="408"/>
      <c r="G25" s="409">
        <f>G67+G69+G70+G71+G72+G74+G75+G79+G80</f>
        <v>0</v>
      </c>
      <c r="P25" s="20"/>
      <c r="S25" s="403"/>
      <c r="T25" s="403"/>
      <c r="U25" s="403"/>
      <c r="V25" s="403"/>
    </row>
    <row r="26" spans="2:22" s="1" customFormat="1" ht="38.25" customHeight="1" x14ac:dyDescent="0.2">
      <c r="B26" s="405" t="s">
        <v>301</v>
      </c>
      <c r="C26" s="406" t="s">
        <v>302</v>
      </c>
      <c r="D26" s="406" t="s">
        <v>303</v>
      </c>
      <c r="E26" s="406">
        <v>4950</v>
      </c>
      <c r="F26" s="408"/>
      <c r="G26" s="409">
        <f>SUM(G23:G25)</f>
        <v>0</v>
      </c>
      <c r="P26" s="20"/>
      <c r="S26" s="403"/>
      <c r="T26" s="403"/>
      <c r="U26" s="403"/>
      <c r="V26" s="403"/>
    </row>
    <row r="27" spans="2:22" s="1" customFormat="1" ht="48" customHeight="1" x14ac:dyDescent="0.2">
      <c r="B27" s="405" t="str">
        <f>IF(H4=2,"Total des dépenses liées aux activités de bienfaisance incluses dans le montant de la ligne 4950","Total expenditures on charitable activities included in Line 4950")</f>
        <v>Total expenditures on charitable activities included in Line 4950</v>
      </c>
      <c r="C27" s="410" t="s">
        <v>304</v>
      </c>
      <c r="D27" s="406" t="s">
        <v>305</v>
      </c>
      <c r="E27" s="406">
        <v>5000</v>
      </c>
      <c r="F27" s="417">
        <f>F82+F84</f>
        <v>0</v>
      </c>
      <c r="G27" s="418"/>
      <c r="P27" s="20"/>
      <c r="S27" s="403"/>
      <c r="T27" s="403"/>
      <c r="U27" s="403"/>
      <c r="V27" s="403"/>
    </row>
    <row r="28" spans="2:22" s="1" customFormat="1" ht="38.25" customHeight="1" x14ac:dyDescent="0.2">
      <c r="B28" s="405" t="str">
        <f>IF(H4=2,"Total des dépenses liées à la gestion et à l'administration incluses dans le montant de la ligne 4950","Total expenditures on management and administration included in Line 4950")</f>
        <v>Total expenditures on management and administration included in Line 4950</v>
      </c>
      <c r="C28" s="410" t="s">
        <v>306</v>
      </c>
      <c r="D28" s="406" t="s">
        <v>307</v>
      </c>
      <c r="E28" s="406">
        <v>5010</v>
      </c>
      <c r="F28" s="417">
        <f>F83</f>
        <v>0</v>
      </c>
      <c r="G28" s="418"/>
      <c r="P28" s="20"/>
      <c r="S28" s="403"/>
      <c r="T28" s="403"/>
      <c r="U28" s="403"/>
      <c r="V28" s="403"/>
    </row>
    <row r="29" spans="2:22" s="1" customFormat="1" ht="38.25" customHeight="1" x14ac:dyDescent="0.2">
      <c r="B29" s="405" t="str">
        <f>IF(H4=2,"Total des dons faits à tous les donataires reconnus","Total amount of gifts made to all qualified donees")</f>
        <v>Total amount of gifts made to all qualified donees</v>
      </c>
      <c r="C29" s="410">
        <v>5810</v>
      </c>
      <c r="D29" s="406" t="s">
        <v>308</v>
      </c>
      <c r="E29" s="406">
        <v>5050</v>
      </c>
      <c r="F29" s="408"/>
      <c r="G29" s="409">
        <f>G87</f>
        <v>0</v>
      </c>
      <c r="I29" s="1266" t="str">
        <f>IF(H4=2,IF(G29&gt;0,"←  Le formulaire T1236 doit être complété","Le formulaire T1236 n'est pas nécessaire"),IF(H4=1,IF(G29&lt;&gt;0,"← The form T1236 must be filled out","The form T1236 is not required")))</f>
        <v>The form T1236 is not required</v>
      </c>
      <c r="J29" s="1267"/>
      <c r="K29" s="1267"/>
      <c r="L29" s="1267"/>
      <c r="M29" s="1267"/>
      <c r="N29" s="1267"/>
      <c r="P29" s="20"/>
      <c r="S29" s="403"/>
      <c r="T29" s="403"/>
      <c r="U29" s="403"/>
      <c r="V29" s="403"/>
    </row>
    <row r="30" spans="2:22" s="1" customFormat="1" ht="38.25" customHeight="1" x14ac:dyDescent="0.2">
      <c r="B30" s="419" t="str">
        <f>IF(H4=2,"Total des dépenses (Lignes 4950 + 5050)","Total Expenditures (Lines 4950 + 5050)")</f>
        <v>Total Expenditures (Lines 4950 + 5050)</v>
      </c>
      <c r="C30" s="413" t="s">
        <v>309</v>
      </c>
      <c r="D30" s="413" t="s">
        <v>310</v>
      </c>
      <c r="E30" s="413">
        <v>5100</v>
      </c>
      <c r="F30" s="414"/>
      <c r="G30" s="415">
        <f>G26+G29</f>
        <v>0</v>
      </c>
      <c r="I30" s="1831"/>
      <c r="J30" s="1831"/>
      <c r="K30" s="1831"/>
      <c r="L30" s="1831"/>
      <c r="M30" s="1831"/>
      <c r="N30" s="1831"/>
      <c r="P30" s="20"/>
      <c r="S30" s="403"/>
      <c r="T30" s="403"/>
      <c r="U30" s="403"/>
      <c r="V30" s="403"/>
    </row>
    <row r="31" spans="2:22" s="1" customFormat="1" ht="34.5" customHeight="1" x14ac:dyDescent="0.2">
      <c r="B31" s="404" t="str">
        <f>IF(H4=2,"ANNEXE 6","SCHEDULE 6")</f>
        <v>SCHEDULE 6</v>
      </c>
      <c r="C31" s="1832" t="str">
        <f>IF(H4=2,"Cette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32"/>
      <c r="E31" s="1832"/>
      <c r="F31" s="1832"/>
      <c r="G31" s="1832"/>
      <c r="P31" s="20"/>
      <c r="S31" s="403"/>
      <c r="T31" s="403"/>
      <c r="U31" s="403"/>
      <c r="V31" s="403"/>
    </row>
    <row r="32" spans="2:22" s="1" customFormat="1" ht="36" customHeight="1" x14ac:dyDescent="0.2">
      <c r="B32" s="1833" t="str">
        <f>IF(H4=2,"Actif","Assets")</f>
        <v>Assets</v>
      </c>
      <c r="C32" s="1833"/>
      <c r="D32" s="1833"/>
      <c r="E32" s="1833"/>
      <c r="F32" s="1833"/>
      <c r="G32" s="1833"/>
      <c r="P32" s="20" t="s">
        <v>311</v>
      </c>
    </row>
    <row r="33" spans="2:7" s="1" customFormat="1" ht="38.25" customHeight="1" x14ac:dyDescent="0.2">
      <c r="B33" s="416" t="str">
        <f>IF(H4=2,"Argent comptant, comptes bancaires et placements à court terme","Cash, Bank Accounts &amp; Short Term Investments")</f>
        <v>Cash, Bank Accounts &amp; Short Term Investments</v>
      </c>
      <c r="C33" s="410" t="s">
        <v>521</v>
      </c>
      <c r="D33" s="407" t="s">
        <v>36</v>
      </c>
      <c r="E33" s="420">
        <v>4100</v>
      </c>
      <c r="F33" s="421"/>
      <c r="G33" s="190">
        <f>'ACC9 (Page 7-8) Bal Sh~Bilan'!N26-'ACC9 (Page 7-8) Bal Sh~Bilan'!M12</f>
        <v>0</v>
      </c>
    </row>
    <row r="34" spans="2:7" s="1" customFormat="1" ht="38.25" customHeight="1" x14ac:dyDescent="0.2">
      <c r="B34" s="416" t="str">
        <f>IF(H4=2,"Sommes à recevoir de personnes avec lesquelles l'organisme a un lien de dépendance","Amounts Receivable From Non-Arm's Length Parties")</f>
        <v>Amounts Receivable From Non-Arm's Length Parties</v>
      </c>
      <c r="C34" s="422"/>
      <c r="D34" s="407" t="s">
        <v>37</v>
      </c>
      <c r="E34" s="420">
        <v>4110</v>
      </c>
      <c r="F34" s="421"/>
      <c r="G34" s="190"/>
    </row>
    <row r="35" spans="2:7" s="1" customFormat="1" ht="36" customHeight="1" x14ac:dyDescent="0.2">
      <c r="B35" s="416" t="str">
        <f>IF(H4=2,"Sommes à recevoir d'autres sources","Amounts Receivable From All Others")</f>
        <v>Amounts Receivable From All Others</v>
      </c>
      <c r="C35" s="422">
        <v>1030</v>
      </c>
      <c r="D35" s="407" t="s">
        <v>150</v>
      </c>
      <c r="E35" s="420">
        <v>4120</v>
      </c>
      <c r="F35" s="421"/>
      <c r="G35" s="190">
        <f>'ACC9 (Page 7-8) Bal Sh~Bilan'!M12</f>
        <v>0</v>
      </c>
    </row>
    <row r="36" spans="2:7" s="1" customFormat="1" ht="38.25" customHeight="1" x14ac:dyDescent="0.2">
      <c r="B36" s="416" t="str">
        <f>IF(H4=2,"Placements auprès de personnes avec lesquelles l'organisme a un lien de dépendance","Investments in Non-Arm's Length persons")</f>
        <v>Investments in Non-Arm's Length persons</v>
      </c>
      <c r="C36" s="422"/>
      <c r="D36" s="407" t="s">
        <v>151</v>
      </c>
      <c r="E36" s="420">
        <v>4130</v>
      </c>
      <c r="F36" s="421"/>
      <c r="G36" s="190"/>
    </row>
    <row r="37" spans="2:7" s="1" customFormat="1" ht="36" customHeight="1" x14ac:dyDescent="0.2">
      <c r="B37" s="416" t="str">
        <f>IF(H4=2,"Placements à long terme","Long-term Investments")</f>
        <v>Long-term Investments</v>
      </c>
      <c r="C37" s="422">
        <v>1300</v>
      </c>
      <c r="D37" s="407" t="s">
        <v>152</v>
      </c>
      <c r="E37" s="420">
        <v>4140</v>
      </c>
      <c r="F37" s="421"/>
      <c r="G37" s="190">
        <f>'ACC9 (Page 7-8) Bal Sh~Bilan'!N37</f>
        <v>0</v>
      </c>
    </row>
    <row r="38" spans="2:7" s="1" customFormat="1" ht="36" customHeight="1" x14ac:dyDescent="0.2">
      <c r="B38" s="416" t="str">
        <f>IF(H4=2,"Stocks","Inventories")</f>
        <v>Inventories</v>
      </c>
      <c r="C38" s="410" t="s">
        <v>312</v>
      </c>
      <c r="D38" s="407" t="s">
        <v>153</v>
      </c>
      <c r="E38" s="420">
        <v>4150</v>
      </c>
      <c r="F38" s="421"/>
      <c r="G38" s="190">
        <f>SUM('ACC9 (Page 7-8) Bal Sh~Bilan'!L41,'ACC9 (Page 7-8) Bal Sh~Bilan'!L44:L52)</f>
        <v>0</v>
      </c>
    </row>
    <row r="39" spans="2:7" s="1" customFormat="1" ht="36" customHeight="1" x14ac:dyDescent="0.2">
      <c r="B39" s="416" t="str">
        <f>IF(H4=2,"Terrains &amp; Immeubles au Canada","Land and Building in Canada")</f>
        <v>Land and Building in Canada</v>
      </c>
      <c r="C39" s="422" t="s">
        <v>313</v>
      </c>
      <c r="D39" s="208" t="s">
        <v>154</v>
      </c>
      <c r="E39" s="420">
        <v>4155</v>
      </c>
      <c r="F39" s="421"/>
      <c r="G39" s="190">
        <f>SUM('ACC9 (Page 7-8) Bal Sh~Bilan'!L42:L43)</f>
        <v>0</v>
      </c>
    </row>
    <row r="40" spans="2:7" s="1" customFormat="1" ht="36" customHeight="1" x14ac:dyDescent="0.2">
      <c r="B40" s="416" t="str">
        <f>IF(H4=2,"Autres immobilisations au Canada","Other Capital Assets in Canada")</f>
        <v>Other Capital Assets in Canada</v>
      </c>
      <c r="C40" s="410"/>
      <c r="D40" s="407" t="s">
        <v>155</v>
      </c>
      <c r="E40" s="420">
        <v>4160</v>
      </c>
      <c r="F40" s="421"/>
      <c r="G40" s="190"/>
    </row>
    <row r="41" spans="2:7" s="1" customFormat="1" ht="36" customHeight="1" x14ac:dyDescent="0.2">
      <c r="B41" s="416" t="str">
        <f>IF(H4=2,"Autres éléments d'actif","Other Assets")</f>
        <v>Other Assets</v>
      </c>
      <c r="C41" s="422"/>
      <c r="D41" s="407" t="s">
        <v>156</v>
      </c>
      <c r="E41" s="420">
        <v>4170</v>
      </c>
      <c r="F41" s="421"/>
      <c r="G41" s="190"/>
    </row>
    <row r="42" spans="2:7" s="1" customFormat="1" ht="36" customHeight="1" x14ac:dyDescent="0.2">
      <c r="B42" s="423" t="str">
        <f>IF(H4=2,"Total de l’actif","Total Assets")</f>
        <v>Total Assets</v>
      </c>
      <c r="C42" s="424" t="str">
        <f>IF(H4=2,"Somme (a) à (i)","Sum (a) to (i)")</f>
        <v>Sum (a) to (i)</v>
      </c>
      <c r="D42" s="425" t="s">
        <v>157</v>
      </c>
      <c r="E42" s="426">
        <v>4200</v>
      </c>
      <c r="F42" s="427"/>
      <c r="G42" s="428">
        <f>SUM(G33:G41)</f>
        <v>0</v>
      </c>
    </row>
    <row r="43" spans="2:7" s="1" customFormat="1" ht="36" customHeight="1" x14ac:dyDescent="0.2">
      <c r="B43" s="1833" t="str">
        <f>IF(H4=2,"Passif","Liabilities")</f>
        <v>Liabilities</v>
      </c>
      <c r="C43" s="1833"/>
      <c r="D43" s="1833"/>
      <c r="E43" s="1833"/>
      <c r="F43" s="1833"/>
      <c r="G43" s="1833"/>
    </row>
    <row r="44" spans="2:7" s="1" customFormat="1" ht="38.25" customHeight="1" x14ac:dyDescent="0.2">
      <c r="B44" s="416" t="str">
        <f>IF(H4=2,"Comptes fournisseurs et charges à payer","Accounts Payable and Accrued Liabilities")</f>
        <v>Accounts Payable and Accrued Liabilities</v>
      </c>
      <c r="C44" s="422">
        <v>2100</v>
      </c>
      <c r="D44" s="208" t="s">
        <v>158</v>
      </c>
      <c r="E44" s="429">
        <v>4300</v>
      </c>
      <c r="F44" s="421"/>
      <c r="G44" s="190">
        <f>'ACC9 (Page 7-8) Bal Sh~Bilan'!N69</f>
        <v>0</v>
      </c>
    </row>
    <row r="45" spans="2:7" s="1" customFormat="1" ht="38.25" customHeight="1" x14ac:dyDescent="0.2">
      <c r="B45" s="416" t="str">
        <f>IF(H4=2,"Produit comptabilisé d'avance","Deferred Revenues")</f>
        <v>Deferred Revenues</v>
      </c>
      <c r="C45" s="422"/>
      <c r="D45" s="208" t="s">
        <v>159</v>
      </c>
      <c r="E45" s="429">
        <v>4310</v>
      </c>
      <c r="F45" s="421"/>
      <c r="G45" s="190"/>
    </row>
    <row r="46" spans="2:7" s="1" customFormat="1" ht="38.25" customHeight="1" x14ac:dyDescent="0.2">
      <c r="B46" s="416" t="str">
        <f>IF(H4=2,"Sommes à payer à des personnes avec lesquelles l'organisme a un lien de dépendance","Amounts Owing to Non-Arm's Length persons")</f>
        <v>Amounts Owing to Non-Arm's Length persons</v>
      </c>
      <c r="C46" s="410"/>
      <c r="D46" s="208" t="s">
        <v>299</v>
      </c>
      <c r="E46" s="420">
        <v>4320</v>
      </c>
      <c r="F46" s="430"/>
      <c r="G46" s="431"/>
    </row>
    <row r="47" spans="2:7" s="2" customFormat="1" ht="38.25" customHeight="1" x14ac:dyDescent="0.2">
      <c r="B47" s="416" t="str">
        <f>IF(H4=2,"Autres éléments du passif","Other Liabilities")</f>
        <v>Other Liabilities</v>
      </c>
      <c r="C47" s="422">
        <v>2300</v>
      </c>
      <c r="D47" s="208" t="s">
        <v>300</v>
      </c>
      <c r="E47" s="429">
        <v>4330</v>
      </c>
      <c r="F47" s="421"/>
      <c r="G47" s="190">
        <f>'ACC9 (Page 7-8) Bal Sh~Bilan'!N80</f>
        <v>0</v>
      </c>
    </row>
    <row r="48" spans="2:7" s="1" customFormat="1" ht="36" customHeight="1" x14ac:dyDescent="0.2">
      <c r="B48" s="423" t="str">
        <f>IF(H4=2,"Total du passif","Total Liabilities")</f>
        <v>Total Liabilities</v>
      </c>
      <c r="C48" s="424" t="str">
        <f>IF(H4=2,"Somme (k) à (n)","Sum (k) to (n)")</f>
        <v>Sum (k) to (n)</v>
      </c>
      <c r="D48" s="425" t="s">
        <v>303</v>
      </c>
      <c r="E48" s="426">
        <v>4350</v>
      </c>
      <c r="F48" s="427"/>
      <c r="G48" s="428">
        <f>SUM(G44:G47)</f>
        <v>0</v>
      </c>
    </row>
    <row r="49" spans="2:14" s="1" customFormat="1" ht="36" customHeight="1" x14ac:dyDescent="0.2">
      <c r="B49" s="1833" t="str">
        <f>IF(H4=2,"Revenus","Revenue")</f>
        <v>Revenue</v>
      </c>
      <c r="C49" s="1833"/>
      <c r="D49" s="1833"/>
      <c r="E49" s="1833"/>
      <c r="F49" s="1833"/>
      <c r="G49" s="1833"/>
    </row>
    <row r="50" spans="2:14" s="1" customFormat="1" ht="38.25" customHeight="1" x14ac:dyDescent="0.2">
      <c r="B50" s="416"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410" t="s">
        <v>295</v>
      </c>
      <c r="D50" s="208" t="s">
        <v>305</v>
      </c>
      <c r="E50" s="432">
        <v>4500</v>
      </c>
      <c r="F50" s="433"/>
      <c r="G50" s="190">
        <f>'ACC9 (Pages 2-3) Rev'!J14+'Jrnl Rev'!P516</f>
        <v>0</v>
      </c>
    </row>
    <row r="51" spans="2:14" s="2" customFormat="1" ht="36" customHeight="1" x14ac:dyDescent="0.2">
      <c r="B51" s="416" t="str">
        <f>IF(H4=2,"Total des montants reçus d'autres organismes de bienfaisance enregistrés","Total Amount Received From Other Registered Charities")</f>
        <v>Total Amount Received From Other Registered Charities</v>
      </c>
      <c r="C51" s="410" t="s">
        <v>296</v>
      </c>
      <c r="D51" s="208" t="s">
        <v>307</v>
      </c>
      <c r="E51" s="432">
        <v>4510</v>
      </c>
      <c r="F51" s="433"/>
      <c r="G51" s="190">
        <f>'ACC9 (Pages 2-3) Rev'!J8+'ACC9 (Pages 2-3) Rev'!J9+'ACC9 (Pages 2-3) Rev'!J10</f>
        <v>0</v>
      </c>
    </row>
    <row r="52" spans="2:14" s="2" customFormat="1" ht="38.25" customHeight="1" x14ac:dyDescent="0.2">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2">
      <c r="B53" s="416" t="str">
        <f>IF(H4=2,"Total des revenus provenant du gouvernement fédéral","Total revenue received from federal government")</f>
        <v>Total revenue received from federal government</v>
      </c>
      <c r="C53" s="410" t="s">
        <v>520</v>
      </c>
      <c r="D53" s="208" t="s">
        <v>310</v>
      </c>
      <c r="E53" s="420">
        <v>4540</v>
      </c>
      <c r="F53" s="434"/>
      <c r="G53" s="190">
        <f>SUM('ACC9 (Pages 2-3) Rev'!J56:J59)</f>
        <v>0</v>
      </c>
    </row>
    <row r="54" spans="2:14" s="2" customFormat="1" ht="36" customHeight="1" x14ac:dyDescent="0.2">
      <c r="B54" s="416" t="str">
        <f>IF(H4=2,"Total des revenus provenant de gouvernements provinciaux ou territoriaux","Total revenue received from provincial/territorial governments")</f>
        <v>Total revenue received from provincial/territorial governments</v>
      </c>
      <c r="C54" s="410" t="s">
        <v>314</v>
      </c>
      <c r="D54" s="208" t="s">
        <v>315</v>
      </c>
      <c r="E54" s="420">
        <v>4550</v>
      </c>
      <c r="F54" s="434"/>
      <c r="G54" s="190">
        <f>SUM('ACC9 (Pages 2-3) Rev'!J60:J62)</f>
        <v>0</v>
      </c>
    </row>
    <row r="55" spans="2:14" s="2" customFormat="1" ht="36" customHeight="1" x14ac:dyDescent="0.2">
      <c r="B55" s="416" t="str">
        <f>IF(H4=2,"Total des revenus provenant de gouvernements municipaux ou régionaux","Total revenue received from municipal/regional governments")</f>
        <v>Total revenue received from municipal/regional governments</v>
      </c>
      <c r="C55" s="410" t="s">
        <v>316</v>
      </c>
      <c r="D55" s="208" t="s">
        <v>317</v>
      </c>
      <c r="E55" s="420">
        <v>4560</v>
      </c>
      <c r="F55" s="434"/>
      <c r="G55" s="190">
        <f>SUM('ACC9 (Pages 2-3) Rev'!J63:J65)</f>
        <v>0</v>
      </c>
    </row>
    <row r="56" spans="2:14" s="2" customFormat="1" ht="38.25" customHeight="1" x14ac:dyDescent="0.2">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410"/>
      <c r="D56" s="435" t="s">
        <v>318</v>
      </c>
      <c r="E56" s="432">
        <v>4575</v>
      </c>
      <c r="F56" s="433"/>
      <c r="G56" s="436"/>
      <c r="I56" s="1834"/>
      <c r="J56" s="1834"/>
      <c r="K56" s="1834"/>
      <c r="L56" s="1834"/>
      <c r="M56" s="1834"/>
      <c r="N56" s="1834"/>
    </row>
    <row r="57" spans="2:14" s="2" customFormat="1" ht="36" customHeight="1" x14ac:dyDescent="0.2">
      <c r="B57" s="416" t="str">
        <f>IF(H4=2,"Total des revenus d'intérêts et de placement reçus ou réalisés","Total interest and investment income received or earned")</f>
        <v>Total interest and investment income received or earned</v>
      </c>
      <c r="C57" s="410">
        <v>4640</v>
      </c>
      <c r="D57" s="208" t="s">
        <v>319</v>
      </c>
      <c r="E57" s="420">
        <v>4580</v>
      </c>
      <c r="F57" s="434"/>
      <c r="G57" s="190">
        <f>'ACC9 (Pages 2-3) Rev'!J47</f>
        <v>0</v>
      </c>
    </row>
    <row r="58" spans="2:14" s="2" customFormat="1" ht="36" customHeight="1" x14ac:dyDescent="0.2">
      <c r="B58" s="416" t="str">
        <f>IF(H4=2,"Produit brut de la disposition de biens","Gross proceeds from disposition of assets")</f>
        <v>Gross proceeds from disposition of assets</v>
      </c>
      <c r="C58" s="410"/>
      <c r="D58" s="208" t="s">
        <v>320</v>
      </c>
      <c r="E58" s="420">
        <v>4590</v>
      </c>
      <c r="F58" s="420"/>
      <c r="G58" s="430"/>
    </row>
    <row r="59" spans="2:14" s="2" customFormat="1" ht="36" customHeight="1" x14ac:dyDescent="0.2">
      <c r="B59" s="416" t="str">
        <f>IF(H4=2,"Produit net de la disposition de biens","Net proceeds from disposition of assets")</f>
        <v>Net proceeds from disposition of assets</v>
      </c>
      <c r="C59" s="410"/>
      <c r="D59" s="208" t="s">
        <v>321</v>
      </c>
      <c r="E59" s="420">
        <v>4600</v>
      </c>
      <c r="F59" s="434"/>
      <c r="G59" s="190"/>
    </row>
    <row r="60" spans="2:14" s="2" customFormat="1" ht="36" customHeight="1" x14ac:dyDescent="0.2">
      <c r="B60" s="416" t="str">
        <f>IF(H4=2,"Revenu brut provenant de location de terrains et d'immeubles","Gross income received from rental of land and/or buildings")</f>
        <v>Gross income received from rental of land and/or buildings</v>
      </c>
      <c r="C60" s="410"/>
      <c r="D60" s="208" t="s">
        <v>322</v>
      </c>
      <c r="E60" s="420">
        <v>4610</v>
      </c>
      <c r="F60" s="434"/>
      <c r="G60" s="190"/>
    </row>
    <row r="61" spans="2:14" s="2" customFormat="1" ht="38.25" customHeight="1" x14ac:dyDescent="0.2">
      <c r="B61" s="416"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410"/>
      <c r="D61" s="208" t="s">
        <v>323</v>
      </c>
      <c r="E61" s="420">
        <v>4620</v>
      </c>
      <c r="F61" s="434"/>
      <c r="G61" s="190"/>
    </row>
    <row r="62" spans="2:14" s="2" customFormat="1" ht="38.25" customHeight="1" x14ac:dyDescent="0.2">
      <c r="B62" s="416" t="str">
        <f>IF(H4=2,"Total des montants des collectes de fonds pour lesquels l'organisme n'a pas délivré de reçus aux fins de l'impôt","Total non tax-receipted revenue from fundraising")</f>
        <v>Total non tax-receipted revenue from fundraising</v>
      </c>
      <c r="C62" s="410" t="str">
        <f>IF($H$4=2,"4299, 4499 ( - Col. Dons)","4299, 4499 ( - Col. Donations)")</f>
        <v>4299, 4499 ( - Col. Donations)</v>
      </c>
      <c r="D62" s="208" t="s">
        <v>324</v>
      </c>
      <c r="E62" s="432">
        <v>4630</v>
      </c>
      <c r="F62" s="433"/>
      <c r="G62" s="190">
        <f>'ACC9 (Pages 2-3) Rev'!$K$29+'ACC9 (Pages 2-3) Rev'!$K$41-'Jrnl Rev'!P516</f>
        <v>0</v>
      </c>
    </row>
    <row r="63" spans="2:14" s="2" customFormat="1" ht="38.25" customHeight="1" x14ac:dyDescent="0.2">
      <c r="B63" s="416"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410"/>
      <c r="D63" s="208" t="s">
        <v>325</v>
      </c>
      <c r="E63" s="432">
        <v>4640</v>
      </c>
      <c r="F63" s="433"/>
      <c r="G63" s="190"/>
    </row>
    <row r="64" spans="2:14" s="2" customFormat="1" ht="36" customHeight="1" x14ac:dyDescent="0.2">
      <c r="B64" s="416" t="str">
        <f>IF(H4=2,"Tout autre revenu qui n'est pas compris dans les montants ci-dessus","Other revenue not already included in the amounts above")</f>
        <v>Other revenue not already included in the amounts above</v>
      </c>
      <c r="C64" s="410" t="s">
        <v>516</v>
      </c>
      <c r="D64" s="208" t="s">
        <v>326</v>
      </c>
      <c r="E64" s="432">
        <v>4650</v>
      </c>
      <c r="F64" s="433"/>
      <c r="G64" s="190">
        <f>'ACC9 (Pages 2-3) Rev'!$K$53-'ACC9 (Pages 2-3) Rev'!$J$47</f>
        <v>0</v>
      </c>
    </row>
    <row r="65" spans="2:19" s="2" customFormat="1" ht="36" customHeight="1" x14ac:dyDescent="0.2">
      <c r="B65" s="423" t="str">
        <f>IF(H4=2,"Total des revenus","Total Revenue")</f>
        <v>Total Revenue</v>
      </c>
      <c r="C65" s="424" t="str">
        <f>IF(H4=2,"Somme (p) à (w) et (y) à (ad)","Sum (p) to (w) and (y) to (ad)")</f>
        <v>Sum (p) to (w) and (y) to (ad)</v>
      </c>
      <c r="D65" s="437" t="s">
        <v>327</v>
      </c>
      <c r="E65" s="426">
        <v>4700</v>
      </c>
      <c r="F65" s="438"/>
      <c r="G65" s="439">
        <f>G50+G51+G52+G53+G54+G55+G56+G57+G59+G60+G61+G62+G63+G64</f>
        <v>0</v>
      </c>
      <c r="I65" s="1831"/>
      <c r="J65" s="1831"/>
      <c r="K65" s="1831"/>
      <c r="L65" s="1831"/>
      <c r="M65" s="1831"/>
      <c r="N65" s="1831"/>
    </row>
    <row r="66" spans="2:19" s="1" customFormat="1" ht="36" customHeight="1" x14ac:dyDescent="0.2">
      <c r="B66" s="440" t="str">
        <f>IF(H4=2,"Dépenses","Expenditures")</f>
        <v>Expenditures</v>
      </c>
      <c r="C66" s="441"/>
      <c r="D66" s="441"/>
      <c r="E66" s="441"/>
      <c r="F66" s="441"/>
      <c r="G66" s="442"/>
    </row>
    <row r="67" spans="2:19" s="1" customFormat="1" ht="36" customHeight="1" x14ac:dyDescent="0.2">
      <c r="B67" s="416" t="str">
        <f>IF(H4=2,"Publicité et promotion","Advertising and Promotion")</f>
        <v>Advertising and Promotion</v>
      </c>
      <c r="C67" s="422">
        <v>5080</v>
      </c>
      <c r="D67" s="443" t="s">
        <v>328</v>
      </c>
      <c r="E67" s="429">
        <v>4800</v>
      </c>
      <c r="F67" s="444"/>
      <c r="G67" s="190">
        <f>'ACC9 (Pages 4-5-6) Exp~Dép'!J17</f>
        <v>0</v>
      </c>
    </row>
    <row r="68" spans="2:19" s="1" customFormat="1" ht="36" customHeight="1" x14ac:dyDescent="0.2">
      <c r="B68" s="416" t="str">
        <f>IF(H4=2,"Total des dépenses pour les frais de déplacement et d'utilisation de véhicules","Travel and Vehicle expenses")</f>
        <v>Travel and Vehicle expenses</v>
      </c>
      <c r="C68" s="410">
        <v>5150</v>
      </c>
      <c r="D68" s="443" t="s">
        <v>329</v>
      </c>
      <c r="E68" s="445">
        <v>4810</v>
      </c>
      <c r="F68" s="446"/>
      <c r="G68" s="190">
        <f>'ACC9 (Pages 4-5-6) Exp~Dép'!J24</f>
        <v>0</v>
      </c>
    </row>
    <row r="69" spans="2:19" s="2" customFormat="1" ht="36" customHeight="1" x14ac:dyDescent="0.2">
      <c r="B69" s="416" t="str">
        <f>IF(H4=2,"Intérêts et frais bancaires","Interest and Bank Charges")</f>
        <v>Interest and Bank Charges</v>
      </c>
      <c r="C69" s="422">
        <v>5110</v>
      </c>
      <c r="D69" s="443" t="s">
        <v>330</v>
      </c>
      <c r="E69" s="429">
        <v>4820</v>
      </c>
      <c r="F69" s="444"/>
      <c r="G69" s="190">
        <f>'ACC9 (Pages 4-5-6) Exp~Dép'!J20</f>
        <v>0</v>
      </c>
    </row>
    <row r="70" spans="2:19" s="1" customFormat="1" ht="36" customHeight="1" x14ac:dyDescent="0.2">
      <c r="B70" s="416" t="str">
        <f>IF(H4=2,"Permis et droits d'adhésion","Licenses, Memberships and Dues")</f>
        <v>Licenses, Memberships and Dues</v>
      </c>
      <c r="C70" s="422" t="s">
        <v>331</v>
      </c>
      <c r="D70" s="407" t="s">
        <v>332</v>
      </c>
      <c r="E70" s="429">
        <v>4830</v>
      </c>
      <c r="F70" s="444"/>
      <c r="G70" s="190">
        <f>'ACC9 (Pages 4-5-6) Exp~Dép'!J18+'ACC9 (Pages 4-5-6) Exp~Dép'!J19</f>
        <v>0</v>
      </c>
    </row>
    <row r="71" spans="2:19" s="1" customFormat="1" ht="36" customHeight="1" x14ac:dyDescent="0.2">
      <c r="B71" s="416" t="str">
        <f>IF(H4=2,"Fournitures et frais de bureau","Office Supplies and Expenses")</f>
        <v>Office Supplies and Expenses</v>
      </c>
      <c r="C71" s="422" t="s">
        <v>333</v>
      </c>
      <c r="D71" s="208" t="s">
        <v>334</v>
      </c>
      <c r="E71" s="429">
        <v>4840</v>
      </c>
      <c r="F71" s="444"/>
      <c r="G71" s="190">
        <f>'ACC9 (Pages 4-5-6) Exp~Dép'!J10+'ACC9 (Pages 4-5-6) Exp~Dép'!J11+'ACC9 (Pages 4-5-6) Exp~Dép'!J16</f>
        <v>0</v>
      </c>
      <c r="S71" s="37"/>
    </row>
    <row r="72" spans="2:19" s="1" customFormat="1" ht="36" customHeight="1" x14ac:dyDescent="0.2">
      <c r="B72" s="416" t="str">
        <f>IF(H4=2,"Coûts d'occupation","Occupancy Costs")</f>
        <v>Occupancy Costs</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2">
      <c r="B73" s="416" t="str">
        <f>IF(H4=2,"Total des dépenses pour des honoraires de professionnels et de consultants","Professional And Consulting Fees")</f>
        <v>Professional And Consulting Fees</v>
      </c>
      <c r="C73" s="410">
        <v>5120</v>
      </c>
      <c r="D73" s="407" t="s">
        <v>336</v>
      </c>
      <c r="E73" s="445">
        <v>4860</v>
      </c>
      <c r="F73" s="446"/>
      <c r="G73" s="190">
        <f>'ACC9 (Pages 4-5-6) Exp~Dép'!J21</f>
        <v>0</v>
      </c>
    </row>
    <row r="74" spans="2:19" s="2" customFormat="1" ht="36" customHeight="1" x14ac:dyDescent="0.2">
      <c r="B74" s="416" t="str">
        <f>IF(H4=2,"Formation du personnel et des bénévoles","Education and Training for Staff and Volunteers")</f>
        <v>Education and Training for Staff and Volunteers</v>
      </c>
      <c r="C74" s="422">
        <v>5060</v>
      </c>
      <c r="D74" s="407" t="s">
        <v>337</v>
      </c>
      <c r="E74" s="429">
        <v>4870</v>
      </c>
      <c r="F74" s="444"/>
      <c r="G74" s="190">
        <f>'ACC9 (Pages 4-5-6) Exp~Dép'!J15</f>
        <v>0</v>
      </c>
    </row>
    <row r="75" spans="2:19" s="1" customFormat="1" ht="36" customHeight="1" x14ac:dyDescent="0.2">
      <c r="B75" s="416" t="str">
        <f>IF(H4=2,"Total des dépenses engagées pour rémunérer les employés","Total expenditure on all compensation")</f>
        <v>Total expenditure on all compensation</v>
      </c>
      <c r="C75" s="422">
        <v>5130</v>
      </c>
      <c r="D75" s="407" t="s">
        <v>338</v>
      </c>
      <c r="E75" s="429">
        <v>4880</v>
      </c>
      <c r="F75" s="444"/>
      <c r="G75" s="190">
        <f>'ACC9 (Pages 4-5-6) Exp~Dép'!J22</f>
        <v>0</v>
      </c>
    </row>
    <row r="76" spans="2:19" s="1" customFormat="1" ht="38.25" customHeight="1" x14ac:dyDescent="0.2">
      <c r="B76" s="416" t="str">
        <f>IF(H4=2,"Juste valeur marchande de tous les dons de biens utilisés dans le cadre des activités de bienfaisance","Fair market value of all donated goods used in charitable activities")</f>
        <v>Fair market value of all donated goods used in charitable activities</v>
      </c>
      <c r="C76" s="422"/>
      <c r="D76" s="208" t="s">
        <v>339</v>
      </c>
      <c r="E76" s="429">
        <v>4890</v>
      </c>
      <c r="F76" s="444"/>
      <c r="G76" s="190"/>
    </row>
    <row r="77" spans="2:19" s="1" customFormat="1" ht="36" customHeight="1" x14ac:dyDescent="0.2">
      <c r="B77" s="416" t="str">
        <f>IF(H4=2,"Fournitures et biens achetés","Purchased supplies and assets")</f>
        <v>Purchased supplies and assets</v>
      </c>
      <c r="C77" s="410"/>
      <c r="D77" s="407" t="s">
        <v>340</v>
      </c>
      <c r="E77" s="429">
        <v>4891</v>
      </c>
      <c r="F77" s="444"/>
      <c r="G77" s="190"/>
    </row>
    <row r="78" spans="2:19" s="1" customFormat="1" ht="36" customHeight="1" x14ac:dyDescent="0.2">
      <c r="B78" s="416" t="str">
        <f>IF(H4=2,"Amortissement des immobilisations","Amortization of Capitalized Assets")</f>
        <v>Amortization of Capitalized Assets</v>
      </c>
      <c r="C78" s="422"/>
      <c r="D78" s="407" t="s">
        <v>341</v>
      </c>
      <c r="E78" s="429">
        <v>4900</v>
      </c>
      <c r="F78" s="444"/>
      <c r="G78" s="190"/>
    </row>
    <row r="79" spans="2:19" s="1" customFormat="1" ht="38.25" customHeight="1" x14ac:dyDescent="0.2">
      <c r="B79" s="416" t="str">
        <f>IF(H4=2,"Subventions de recherche et bourses versées dans le cadre des programmes de bienfaisance","Research Grant and Scholarships as Part of Charitable Program")</f>
        <v>Research Grant and Scholarships as Part of Charitable Program</v>
      </c>
      <c r="C79" s="410">
        <v>5530</v>
      </c>
      <c r="D79" s="208" t="s">
        <v>342</v>
      </c>
      <c r="E79" s="420">
        <v>4910</v>
      </c>
      <c r="F79" s="434"/>
      <c r="G79" s="190">
        <f>'ACC9 (Pages 4-5-6) Exp~Dép'!J74</f>
        <v>0</v>
      </c>
    </row>
    <row r="80" spans="2:19" s="2" customFormat="1" ht="51" customHeight="1" x14ac:dyDescent="0.2">
      <c r="B80" s="416"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2">
      <c r="B81" s="450" t="str">
        <f>IF(H4=2,"Dépenses totales (à l’exception des dons faits aux donataires reconnus)","Total expenditures before gifts to qualified donees")</f>
        <v>Total expenditures before gifts to qualified donees</v>
      </c>
      <c r="C81" s="451" t="str">
        <f>IF(H4=2,"Somme (af) à (as)","Sum (af) to (as)")</f>
        <v>Sum (af) to (as)</v>
      </c>
      <c r="D81" s="437" t="s">
        <v>344</v>
      </c>
      <c r="E81" s="452">
        <v>4950</v>
      </c>
      <c r="F81" s="453"/>
      <c r="G81" s="428">
        <f>SUM(G67:G80)</f>
        <v>0</v>
      </c>
    </row>
    <row r="82" spans="2:14" s="2" customFormat="1" ht="72" customHeight="1" x14ac:dyDescent="0.2">
      <c r="B82" s="416" t="str">
        <f>IF(H4=2,"Total des dépenses liées aux activités de bienfaisance incluses dans le montant de la ligne 4950","Total expenditures on charitable activities included in Line 4950")</f>
        <v>Total expenditures on charitable activities included in Line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2">
      <c r="B83" s="416" t="str">
        <f>IF(H4=2,"Total des dépenses liées à la gestion et à l'administration incluses dans le montant de la ligne 4950","Total expenditures on management and administration included in Line 4950")</f>
        <v>Total expenditures on management and administration included in Line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2">
      <c r="B84" s="416" t="str">
        <f>IF(H4=2,"Total des dépenses liées aux activités de collecte de fonds incluses dans le montant de la ligne 4950","Total expenditures on Fundraising included in Line 4950")</f>
        <v>Total expenditures on Fundraising included in Line 4950</v>
      </c>
      <c r="C84" s="410" t="s">
        <v>466</v>
      </c>
      <c r="D84" s="435" t="s">
        <v>347</v>
      </c>
      <c r="E84" s="420">
        <v>5020</v>
      </c>
      <c r="F84" s="190">
        <f>'ACC9 (Pages 4-5-6) Exp~Dép'!K91+'ACC9 (Pages 4-5-6) Exp~Dép'!K103</f>
        <v>0</v>
      </c>
      <c r="G84" s="430"/>
      <c r="L84" s="454"/>
    </row>
    <row r="85" spans="2:14" s="2" customFormat="1" ht="38.25" customHeight="1" x14ac:dyDescent="0.2">
      <c r="B85" s="416"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410"/>
      <c r="D85" s="208" t="s">
        <v>348</v>
      </c>
      <c r="E85" s="420">
        <v>5030</v>
      </c>
      <c r="F85" s="429"/>
      <c r="G85" s="430"/>
    </row>
    <row r="86" spans="2:14" s="2" customFormat="1" ht="36" customHeight="1" x14ac:dyDescent="0.2">
      <c r="B86" s="416" t="str">
        <f>IF(H4=2,"Total des autres dépenses incluses dans le montant de la ligne 4950","Total other expenditures Included in Line 4950")</f>
        <v>Total other expenditures Included in Line 4950</v>
      </c>
      <c r="C86" s="410"/>
      <c r="D86" s="208" t="s">
        <v>349</v>
      </c>
      <c r="E86" s="420">
        <v>5040</v>
      </c>
      <c r="F86" s="429"/>
      <c r="G86" s="430"/>
    </row>
    <row r="87" spans="2:14" s="2" customFormat="1" ht="36" customHeight="1" x14ac:dyDescent="0.2">
      <c r="B87" s="416" t="str">
        <f>IF(H4=2,"Total des dons faits à tous les donataires reconnus","Total amount of gifts made to all qualified donees")</f>
        <v>Total amount of gifts made to all qualified donees</v>
      </c>
      <c r="C87" s="410">
        <v>5810</v>
      </c>
      <c r="D87" s="208" t="s">
        <v>350</v>
      </c>
      <c r="E87" s="432">
        <v>5050</v>
      </c>
      <c r="F87" s="433"/>
      <c r="G87" s="190">
        <f>'ACC9 (Pages 4-5-6) Exp~Dép'!J106</f>
        <v>0</v>
      </c>
      <c r="I87" s="1266" t="str">
        <f>I29</f>
        <v>The form T1236 is not required</v>
      </c>
      <c r="J87" s="1267"/>
      <c r="K87" s="1267"/>
      <c r="L87" s="1267"/>
      <c r="M87" s="1267"/>
      <c r="N87" s="1267"/>
    </row>
    <row r="88" spans="2:14" s="2" customFormat="1" ht="36" customHeight="1" x14ac:dyDescent="0.2">
      <c r="B88" s="423" t="str">
        <f>IF(H4=2,"Total des dépenses","Total Expenditures")</f>
        <v>Total Expenditures</v>
      </c>
      <c r="C88" s="424" t="s">
        <v>351</v>
      </c>
      <c r="D88" s="437" t="s">
        <v>352</v>
      </c>
      <c r="E88" s="426">
        <v>5100</v>
      </c>
      <c r="F88" s="438"/>
      <c r="G88" s="428">
        <f>G81+G87</f>
        <v>0</v>
      </c>
      <c r="I88" s="1"/>
      <c r="J88" s="1"/>
      <c r="K88" s="1"/>
      <c r="L88" s="1"/>
      <c r="M88" s="1"/>
      <c r="N88" s="1"/>
    </row>
    <row r="89" spans="2:14" s="1" customFormat="1" ht="20.100000000000001" customHeight="1" x14ac:dyDescent="0.2">
      <c r="B89"/>
      <c r="C89" s="398"/>
      <c r="D89" s="91"/>
      <c r="E89" s="398"/>
      <c r="F89" s="398"/>
      <c r="G89" s="399"/>
    </row>
    <row r="90" spans="2:14" x14ac:dyDescent="0.2">
      <c r="B90" s="1"/>
      <c r="C90" s="1"/>
      <c r="D90" s="1"/>
      <c r="E90" s="1"/>
      <c r="F90" s="1"/>
      <c r="G90" s="1"/>
    </row>
    <row r="93" spans="2:14" x14ac:dyDescent="0.2">
      <c r="B93" s="187"/>
    </row>
    <row r="129" customFormat="1" x14ac:dyDescent="0.2"/>
    <row r="130" customFormat="1" x14ac:dyDescent="0.2"/>
    <row r="131" customFormat="1" x14ac:dyDescent="0.2"/>
    <row r="132" customFormat="1" x14ac:dyDescent="0.2"/>
    <row r="133" customFormat="1" x14ac:dyDescent="0.2"/>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0:G10"/>
    <mergeCell ref="B12:G12"/>
    <mergeCell ref="B22:G22"/>
    <mergeCell ref="I30:N30"/>
    <mergeCell ref="I65:N65"/>
    <mergeCell ref="C31:G31"/>
    <mergeCell ref="B32:G32"/>
    <mergeCell ref="B43:G43"/>
    <mergeCell ref="B49:G49"/>
    <mergeCell ref="I56:N56"/>
    <mergeCell ref="B1:G1"/>
    <mergeCell ref="B2:G2"/>
    <mergeCell ref="B3:G3"/>
    <mergeCell ref="C7:G7"/>
    <mergeCell ref="B8:G8"/>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defaultColWidth="11.42578125" defaultRowHeight="12.75" x14ac:dyDescent="0.2"/>
  <cols>
    <col min="1" max="1" width="3.140625" customWidth="1"/>
    <col min="2" max="2" width="88.42578125" customWidth="1"/>
    <col min="3" max="3" width="26.28515625" style="398" customWidth="1"/>
    <col min="4" max="4" width="4.85546875" style="398" customWidth="1"/>
    <col min="5" max="5" width="11.28515625" style="398" customWidth="1"/>
    <col min="6" max="6" width="21.28515625" style="399" customWidth="1"/>
    <col min="7" max="7" width="1.42578125" customWidth="1"/>
    <col min="8" max="8" width="46.7109375" customWidth="1"/>
    <col min="9" max="12" width="9.140625" customWidth="1"/>
    <col min="13" max="13" width="23.28515625" customWidth="1"/>
    <col min="14" max="17" width="9.140625" hidden="1" customWidth="1"/>
    <col min="18" max="18" width="12.140625" customWidth="1"/>
    <col min="19" max="21" width="9.140625" customWidth="1"/>
    <col min="22" max="22" width="9.7109375" customWidth="1"/>
    <col min="23" max="32" width="9.140625" customWidth="1"/>
    <col min="33" max="33" width="15.7109375" customWidth="1"/>
    <col min="34" max="258" width="9.140625" customWidth="1"/>
  </cols>
  <sheetData>
    <row r="1" spans="2:21" ht="33.75" customHeight="1" x14ac:dyDescent="0.4">
      <c r="B1" s="1511" t="str">
        <f>IF(G4=2,"Rapport TP-985.22-V - Feuille de travail","TP-985.22-V Report - Worksheet")</f>
        <v>TP-985.22-V Report - Worksheet</v>
      </c>
      <c r="C1" s="1511"/>
      <c r="D1" s="1511"/>
      <c r="E1" s="1511"/>
      <c r="F1" s="1511"/>
    </row>
    <row r="2" spans="2:21" ht="33.75" customHeight="1" x14ac:dyDescent="0.2">
      <c r="B2" s="1717" t="str">
        <f>'Set up ~ Config'!B2:J2</f>
        <v xml:space="preserve">SSC </v>
      </c>
      <c r="C2" s="1717"/>
      <c r="D2" s="1717"/>
      <c r="E2" s="1717"/>
      <c r="F2" s="1717"/>
    </row>
    <row r="3" spans="2:21" ht="41.25" customHeight="1" x14ac:dyDescent="0.2">
      <c r="B3" s="1828" t="str">
        <f>'Cover~Page~Titre'!B58:Y58</f>
        <v>For  Fiscal Year Ending on 2025-08-31</v>
      </c>
      <c r="C3" s="1828"/>
      <c r="D3" s="1828"/>
      <c r="E3" s="1828"/>
      <c r="F3" s="1828"/>
      <c r="O3" s="20" t="s">
        <v>353</v>
      </c>
    </row>
    <row r="4" spans="2:21" ht="4.5" customHeight="1" x14ac:dyDescent="0.2">
      <c r="B4" s="20"/>
      <c r="C4" s="20"/>
      <c r="D4" s="20"/>
      <c r="E4" s="27"/>
      <c r="F4" s="20"/>
      <c r="G4" s="212">
        <f>'Set up ~ Config'!L10</f>
        <v>1</v>
      </c>
      <c r="O4" s="20" t="s">
        <v>354</v>
      </c>
    </row>
    <row r="5" spans="2:21" s="1" customFormat="1" ht="8.25" customHeight="1" x14ac:dyDescent="0.2">
      <c r="C5" s="26"/>
      <c r="D5" s="26"/>
      <c r="E5" s="26"/>
      <c r="F5" s="37"/>
      <c r="O5" s="2"/>
    </row>
    <row r="6" spans="2:21" s="1" customFormat="1" ht="28.5" customHeight="1" x14ac:dyDescent="0.2">
      <c r="B6" s="455" t="s">
        <v>138</v>
      </c>
      <c r="C6" s="401" t="str">
        <f>IF(G4=2,"ACC-9 
# Ligne", "ACC-9 
Line #")</f>
        <v>ACC-9 
Line #</v>
      </c>
      <c r="D6" s="401"/>
      <c r="E6" s="401" t="str">
        <f>IF(G4=2,"TP985
# ligne","TP985
Line #")</f>
        <v>TP985
Line #</v>
      </c>
      <c r="F6" s="402" t="str">
        <f>IF(G4=2,"Montant","Amount")</f>
        <v>Amount</v>
      </c>
      <c r="O6" s="20" t="s">
        <v>355</v>
      </c>
      <c r="R6" s="403"/>
      <c r="S6" s="403"/>
      <c r="T6" s="403"/>
      <c r="U6" s="403"/>
    </row>
    <row r="7" spans="2:21" s="1" customFormat="1" ht="36" customHeight="1" x14ac:dyDescent="0.2">
      <c r="B7" s="1833" t="str">
        <f>IF(G4=2,"Dons et autres revenus","Gifts and other revenue")</f>
        <v>Gifts and other revenue</v>
      </c>
      <c r="C7" s="1833"/>
      <c r="D7" s="1833"/>
      <c r="E7" s="1833"/>
      <c r="F7" s="1833"/>
      <c r="O7" s="20" t="s">
        <v>356</v>
      </c>
    </row>
    <row r="8" spans="2:21" s="1" customFormat="1" ht="36" customHeight="1" x14ac:dyDescent="0.2">
      <c r="B8" s="456"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410" t="s">
        <v>295</v>
      </c>
      <c r="D8" s="208" t="s">
        <v>36</v>
      </c>
      <c r="E8" s="445">
        <v>12</v>
      </c>
      <c r="F8" s="431">
        <f>'T3010'!G50</f>
        <v>0</v>
      </c>
      <c r="H8" s="183"/>
      <c r="I8" s="183"/>
      <c r="J8" s="183"/>
      <c r="K8" s="183"/>
      <c r="L8" s="183"/>
      <c r="M8" s="183"/>
      <c r="O8" s="20"/>
    </row>
    <row r="9" spans="2:21" s="1" customFormat="1" ht="36" customHeight="1" x14ac:dyDescent="0.2">
      <c r="B9" s="456" t="str">
        <f>IF(G4=2,"Total des dons reçus d’autres organismes ayant le même statut fiscal","Total gifts received from other organizations with the same tax status")</f>
        <v>Total gifts received from other organizations with the same tax status</v>
      </c>
      <c r="C9" s="410" t="s">
        <v>296</v>
      </c>
      <c r="D9" s="208" t="s">
        <v>37</v>
      </c>
      <c r="E9" s="445">
        <v>13</v>
      </c>
      <c r="F9" s="431">
        <f>'T3010'!G51</f>
        <v>0</v>
      </c>
      <c r="H9" s="457"/>
      <c r="I9" s="457"/>
      <c r="J9" s="457"/>
      <c r="K9" s="457"/>
      <c r="L9" s="457"/>
      <c r="M9" s="457"/>
      <c r="O9" s="20"/>
    </row>
    <row r="10" spans="2:21" s="1" customFormat="1" ht="36" customHeight="1" x14ac:dyDescent="0.2">
      <c r="B10" s="458" t="str">
        <f>IF(G4=2,"Partie du montant de la ligne 13 qui constitue des dons déterminés","Portion of the amount from line 13 that constitutes specified gifts")</f>
        <v>Portion of the amount from line 13 that constitutes specified gifts</v>
      </c>
      <c r="C10" s="410"/>
      <c r="D10" s="208" t="s">
        <v>150</v>
      </c>
      <c r="E10" s="445">
        <v>13.1</v>
      </c>
      <c r="F10" s="431"/>
      <c r="H10" s="368"/>
      <c r="I10" s="368"/>
      <c r="J10" s="368"/>
      <c r="K10" s="368"/>
      <c r="L10" s="368"/>
      <c r="M10" s="368"/>
      <c r="O10" s="20"/>
    </row>
    <row r="11" spans="2:21" s="1" customFormat="1" ht="36" customHeight="1" x14ac:dyDescent="0.2">
      <c r="B11" s="456"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410" t="s">
        <v>297</v>
      </c>
      <c r="D11" s="208" t="s">
        <v>151</v>
      </c>
      <c r="E11" s="445">
        <v>14</v>
      </c>
      <c r="F11" s="431">
        <f>'T3010'!G52</f>
        <v>0</v>
      </c>
      <c r="H11" s="368"/>
      <c r="I11" s="368"/>
      <c r="J11" s="368"/>
      <c r="K11" s="368"/>
      <c r="L11" s="368"/>
      <c r="M11" s="368"/>
      <c r="O11" s="20"/>
    </row>
    <row r="12" spans="2:21" s="1" customFormat="1" ht="36" customHeight="1" x14ac:dyDescent="0.2">
      <c r="B12" s="456" t="str">
        <f>IF(G4=2,"Revenus de sources gouvernementales","Revenue from government sources")</f>
        <v>Revenue from government sources</v>
      </c>
      <c r="C12" s="410"/>
      <c r="D12" s="208" t="s">
        <v>152</v>
      </c>
      <c r="E12" s="206">
        <v>15</v>
      </c>
      <c r="F12" s="431">
        <f>'T3010'!G16</f>
        <v>0</v>
      </c>
      <c r="H12" s="368"/>
      <c r="I12" s="368"/>
      <c r="J12" s="368"/>
      <c r="K12" s="368"/>
      <c r="L12" s="368"/>
      <c r="M12" s="368"/>
      <c r="O12" s="20"/>
    </row>
    <row r="13" spans="2:21" s="1" customFormat="1" ht="36" customHeight="1" x14ac:dyDescent="0.2">
      <c r="B13" s="458" t="str">
        <f>IF(G4=2,"du gouvernement fédéral","the federal government")</f>
        <v>the federal government</v>
      </c>
      <c r="C13" s="410" t="s">
        <v>520</v>
      </c>
      <c r="D13" s="208" t="s">
        <v>153</v>
      </c>
      <c r="E13" s="445">
        <v>15.1</v>
      </c>
      <c r="F13" s="431">
        <f>'T3010'!G53</f>
        <v>0</v>
      </c>
      <c r="H13" s="368"/>
      <c r="I13" s="368"/>
      <c r="J13" s="368"/>
      <c r="K13" s="368"/>
      <c r="L13" s="368"/>
      <c r="M13" s="368"/>
      <c r="O13" s="20"/>
    </row>
    <row r="14" spans="2:21" s="1" customFormat="1" ht="36" customHeight="1" x14ac:dyDescent="0.2">
      <c r="B14" s="458" t="str">
        <f>IF(G4=2,"du gouvernement d’une province","a provincial government")</f>
        <v>a provincial government</v>
      </c>
      <c r="C14" s="410" t="s">
        <v>314</v>
      </c>
      <c r="D14" s="208" t="s">
        <v>154</v>
      </c>
      <c r="E14" s="420">
        <v>15.2</v>
      </c>
      <c r="F14" s="431">
        <f>'T3010'!G54</f>
        <v>0</v>
      </c>
      <c r="I14" s="459"/>
      <c r="J14" s="459"/>
      <c r="K14" s="459"/>
      <c r="L14" s="459"/>
      <c r="M14" s="459"/>
      <c r="O14" s="20"/>
    </row>
    <row r="15" spans="2:21" s="1" customFormat="1" ht="36" customHeight="1" x14ac:dyDescent="0.2">
      <c r="B15" s="458" t="str">
        <f>IF(G4=2,"d’une administration municipale ou régionale","a municipal or regional administration")</f>
        <v>a municipal or regional administration</v>
      </c>
      <c r="C15" s="410" t="s">
        <v>316</v>
      </c>
      <c r="D15" s="208" t="s">
        <v>155</v>
      </c>
      <c r="E15" s="420">
        <v>15.3</v>
      </c>
      <c r="F15" s="431">
        <f>'T3010'!G55</f>
        <v>0</v>
      </c>
      <c r="H15" s="411"/>
      <c r="I15" s="411"/>
      <c r="J15" s="411"/>
      <c r="K15" s="411"/>
      <c r="L15" s="411"/>
      <c r="M15" s="411"/>
      <c r="O15" s="20"/>
    </row>
    <row r="16" spans="2:21" s="1" customFormat="1" ht="36" customHeight="1" x14ac:dyDescent="0.2">
      <c r="B16" s="456" t="str">
        <f>IF(G4=2,"Revenus de placement (intérêts et dividendes)","Investment income (interest and dividends)")</f>
        <v>Investment income (interest and dividends)</v>
      </c>
      <c r="C16" s="410">
        <v>4640</v>
      </c>
      <c r="D16" s="208" t="s">
        <v>156</v>
      </c>
      <c r="E16" s="420">
        <v>17</v>
      </c>
      <c r="F16" s="431">
        <f>'T3010'!G57</f>
        <v>0</v>
      </c>
      <c r="H16" s="411"/>
      <c r="I16" s="411"/>
      <c r="J16" s="411"/>
      <c r="K16" s="411"/>
      <c r="L16" s="411"/>
      <c r="M16" s="411"/>
      <c r="O16" s="20"/>
    </row>
    <row r="17" spans="2:15" s="1" customFormat="1" ht="36" customHeight="1" x14ac:dyDescent="0.2">
      <c r="B17" s="456" t="str">
        <f>IF(G4=2,"Revenus de location de terrains et d’immeubles","Rental income from land and buildings")</f>
        <v>Rental income from land and buildings</v>
      </c>
      <c r="C17" s="410"/>
      <c r="D17" s="208" t="s">
        <v>157</v>
      </c>
      <c r="E17" s="420">
        <v>18</v>
      </c>
      <c r="F17" s="431"/>
      <c r="H17" s="411"/>
      <c r="I17" s="411"/>
      <c r="J17" s="411"/>
      <c r="K17" s="411"/>
      <c r="L17" s="411"/>
      <c r="M17" s="411"/>
      <c r="O17" s="20"/>
    </row>
    <row r="18" spans="2:15" s="1" customFormat="1" ht="36" customHeight="1" x14ac:dyDescent="0.2">
      <c r="B18" s="456" t="str">
        <f>IF(G4=2,"Cotisations des membres et droits d’adhésion, sauf ceux déclarés à la ligne 12","Membership fees or dues for which the organization did not issue official receipts")</f>
        <v>Membership fees or dues for which the organization did not issue official receipts</v>
      </c>
      <c r="C18" s="410"/>
      <c r="D18" s="208" t="s">
        <v>158</v>
      </c>
      <c r="E18" s="420">
        <v>19</v>
      </c>
      <c r="F18" s="431"/>
      <c r="H18" s="411"/>
      <c r="I18" s="411"/>
      <c r="J18" s="411"/>
      <c r="K18" s="411"/>
      <c r="L18" s="411"/>
      <c r="M18" s="411"/>
      <c r="O18" s="20"/>
    </row>
    <row r="19" spans="2:15" s="1" customFormat="1" ht="36" customHeight="1" x14ac:dyDescent="0.2">
      <c r="B19" s="456"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410" t="str">
        <f>IF($G$4=2,"4299, 4499 ( - Col. Dons)","4299, 4499 ( - Col. Donations)")</f>
        <v>4299, 4499 ( - Col. Donations)</v>
      </c>
      <c r="D19" s="208" t="s">
        <v>159</v>
      </c>
      <c r="E19" s="445">
        <v>20</v>
      </c>
      <c r="F19" s="431">
        <f>'T3010'!G62</f>
        <v>0</v>
      </c>
      <c r="O19" s="20"/>
    </row>
    <row r="20" spans="2:15" s="1" customFormat="1" ht="36" customHeight="1" x14ac:dyDescent="0.2">
      <c r="B20" s="456" t="str">
        <f>IF(G4=2,"Revenus provenant de la vente courante de produits et services","Income from sales of goods and services")</f>
        <v>Income from sales of goods and services</v>
      </c>
      <c r="C20" s="410"/>
      <c r="D20" s="208" t="s">
        <v>299</v>
      </c>
      <c r="E20" s="445">
        <v>21</v>
      </c>
      <c r="F20" s="431"/>
      <c r="O20" s="20"/>
    </row>
    <row r="21" spans="2:15" s="1" customFormat="1" ht="36" customHeight="1" x14ac:dyDescent="0.2">
      <c r="B21" s="456" t="str">
        <f>IF(G4=2,"Montant net des gains (ou des pertes) en capital","Net capital gain (or loss) from the disposition of property")</f>
        <v>Net capital gain (or loss) from the disposition of property</v>
      </c>
      <c r="C21" s="410"/>
      <c r="D21" s="208" t="s">
        <v>300</v>
      </c>
      <c r="E21" s="445">
        <v>22</v>
      </c>
      <c r="F21" s="431"/>
      <c r="H21" s="2"/>
      <c r="I21" s="2"/>
      <c r="J21" s="2"/>
      <c r="K21" s="2"/>
      <c r="L21" s="2"/>
      <c r="M21" s="2"/>
      <c r="O21" s="20"/>
    </row>
    <row r="22" spans="2:15" s="1" customFormat="1" ht="36" customHeight="1" x14ac:dyDescent="0.2">
      <c r="B22" s="456" t="str">
        <f>IF(G4=2,"Total des montants qui n’est pas compris dans les montants mentionnés ci-dessus","Other revenue")</f>
        <v>Other revenue</v>
      </c>
      <c r="C22" s="410" t="s">
        <v>516</v>
      </c>
      <c r="D22" s="208" t="s">
        <v>303</v>
      </c>
      <c r="E22" s="445">
        <v>23</v>
      </c>
      <c r="F22" s="431">
        <f>'T3010'!G64</f>
        <v>0</v>
      </c>
      <c r="O22" s="20"/>
    </row>
    <row r="23" spans="2:15" s="1" customFormat="1" ht="36" customHeight="1" x14ac:dyDescent="0.2">
      <c r="B23" s="423" t="str">
        <f>IF(G4=2,"Total des revenus","Total Revenue")</f>
        <v>Total Revenue</v>
      </c>
      <c r="C23" s="451" t="str">
        <f>IF(G4=2,"(a) + (b) + (d) + (e) + Somme (i) à (o)","(a) + (b) + (d) +(e) + Sum (i) to (o)")</f>
        <v>(a) + (b) + (d) +(e) + Sum (i) to (o)</v>
      </c>
      <c r="D23" s="437" t="s">
        <v>305</v>
      </c>
      <c r="E23" s="426">
        <v>24</v>
      </c>
      <c r="F23" s="428">
        <f>SUM(F8,F9,F11,F12,F16:F22)</f>
        <v>0</v>
      </c>
      <c r="H23" s="1831"/>
      <c r="I23" s="1831"/>
      <c r="J23" s="1831"/>
      <c r="K23" s="1831"/>
      <c r="L23" s="1831"/>
      <c r="M23" s="1831"/>
      <c r="O23" s="20"/>
    </row>
    <row r="24" spans="2:15" s="1" customFormat="1" ht="36" customHeight="1" x14ac:dyDescent="0.2">
      <c r="B24" s="1833" t="str">
        <f>IF(G4=2,"Dépenses et dons à des donataires reconnus","Expenditures and gifts to qualified donees")</f>
        <v>Expenditures and gifts to qualified donees</v>
      </c>
      <c r="C24" s="1833"/>
      <c r="D24" s="1833"/>
      <c r="E24" s="1833"/>
      <c r="F24" s="1833"/>
      <c r="O24" s="20"/>
    </row>
    <row r="25" spans="2:15" s="1" customFormat="1" ht="36" customHeight="1" x14ac:dyDescent="0.2">
      <c r="B25" s="460" t="str">
        <f>IF(G4=2,"Frais de publicité et de promotion","Advertising and promotional costs")</f>
        <v>Advertising and promotional costs</v>
      </c>
      <c r="C25" s="422">
        <v>5080</v>
      </c>
      <c r="D25" s="208" t="s">
        <v>307</v>
      </c>
      <c r="E25" s="429">
        <v>25</v>
      </c>
      <c r="F25" s="190">
        <f>'T3010'!G67</f>
        <v>0</v>
      </c>
      <c r="H25" s="2"/>
      <c r="I25" s="2"/>
      <c r="J25" s="2"/>
      <c r="K25" s="2"/>
      <c r="L25" s="2"/>
      <c r="M25" s="2"/>
      <c r="O25" s="20"/>
    </row>
    <row r="26" spans="2:15" s="1" customFormat="1" ht="36" customHeight="1" x14ac:dyDescent="0.2">
      <c r="B26" s="456" t="str">
        <f>IF(G4=2,"Frais de déplacement et d’utilisation d’un véhicule","Travel and vehicle expenditures")</f>
        <v>Travel and vehicle expenditures</v>
      </c>
      <c r="C26" s="410">
        <v>5150</v>
      </c>
      <c r="D26" s="208" t="s">
        <v>308</v>
      </c>
      <c r="E26" s="445">
        <v>26</v>
      </c>
      <c r="F26" s="190">
        <f>'T3010'!G68</f>
        <v>0</v>
      </c>
      <c r="H26" s="2"/>
      <c r="I26" s="2"/>
      <c r="J26" s="2"/>
      <c r="K26" s="2"/>
      <c r="L26" s="2"/>
      <c r="M26" s="2"/>
      <c r="O26" s="20"/>
    </row>
    <row r="27" spans="2:15" s="1" customFormat="1" ht="36" customHeight="1" x14ac:dyDescent="0.2">
      <c r="B27" s="456" t="str">
        <f>IF(G4=2,"Intérêts et autres frais financiers","Interest and other carrying charges")</f>
        <v>Interest and other carrying charges</v>
      </c>
      <c r="C27" s="422">
        <v>5110</v>
      </c>
      <c r="D27" s="208" t="s">
        <v>310</v>
      </c>
      <c r="E27" s="461">
        <v>27</v>
      </c>
      <c r="F27" s="190">
        <f>'T3010'!G69</f>
        <v>0</v>
      </c>
      <c r="H27" s="2"/>
      <c r="I27" s="2"/>
      <c r="J27" s="2"/>
      <c r="K27" s="2"/>
      <c r="L27" s="2"/>
      <c r="M27" s="2"/>
      <c r="O27" s="20"/>
    </row>
    <row r="28" spans="2:15" s="1" customFormat="1" ht="36" customHeight="1" x14ac:dyDescent="0.2">
      <c r="B28" s="456" t="str">
        <f>IF(G4=2,"Frais de bureau et coût des fournitures","Office expenditures and supplies")</f>
        <v>Office expenditures and supplies</v>
      </c>
      <c r="C28" s="422" t="s">
        <v>333</v>
      </c>
      <c r="D28" s="208" t="s">
        <v>315</v>
      </c>
      <c r="E28" s="461">
        <v>28</v>
      </c>
      <c r="F28" s="190">
        <f>'T3010'!G71</f>
        <v>0</v>
      </c>
      <c r="H28" s="2"/>
      <c r="I28" s="2"/>
      <c r="J28" s="2"/>
      <c r="K28" s="2"/>
      <c r="L28" s="2"/>
      <c r="M28" s="2"/>
      <c r="O28" s="20"/>
    </row>
    <row r="29" spans="2:15" s="1" customFormat="1" ht="36" customHeight="1" x14ac:dyDescent="0.2">
      <c r="B29" s="456" t="str">
        <f>IF(G4=2,"Coûts d'occupation","Occupancy Costs")</f>
        <v>Occupancy Costs</v>
      </c>
      <c r="C29" s="422" t="s">
        <v>517</v>
      </c>
      <c r="D29" s="208" t="s">
        <v>317</v>
      </c>
      <c r="E29" s="461">
        <v>29</v>
      </c>
      <c r="F29" s="190">
        <f>'T3010'!G72</f>
        <v>0</v>
      </c>
      <c r="H29" s="2"/>
      <c r="I29" s="2"/>
      <c r="J29" s="2"/>
      <c r="K29" s="2"/>
      <c r="L29" s="2"/>
      <c r="M29" s="2"/>
      <c r="O29" s="20"/>
    </row>
    <row r="30" spans="2:15" s="1" customFormat="1" ht="36" customHeight="1" x14ac:dyDescent="0.2">
      <c r="B30" s="456" t="str">
        <f>IF(G4=2,"Total des dépenses de l’organisme de bienfaisance pour des honoraires de professionnels ou de consultants","Professional and consulting fees")</f>
        <v>Professional and consulting fees</v>
      </c>
      <c r="C30" s="410">
        <v>5120</v>
      </c>
      <c r="D30" s="208" t="s">
        <v>318</v>
      </c>
      <c r="E30" s="445">
        <v>30</v>
      </c>
      <c r="F30" s="190">
        <f>'T3010'!G73</f>
        <v>0</v>
      </c>
      <c r="H30" s="2"/>
      <c r="I30" s="2"/>
      <c r="J30" s="2"/>
      <c r="K30" s="2"/>
      <c r="L30" s="2"/>
      <c r="M30" s="2"/>
      <c r="O30" s="20"/>
    </row>
    <row r="31" spans="2:15" s="1" customFormat="1" ht="36" customHeight="1" x14ac:dyDescent="0.2">
      <c r="B31" s="456" t="str">
        <f>IF(G4=2,"Frais de formation du personnel et des bénévoles","Training costs (personnel and volunteers)")</f>
        <v>Training costs (personnel and volunteers)</v>
      </c>
      <c r="C31" s="422">
        <v>5060</v>
      </c>
      <c r="D31" s="208" t="s">
        <v>319</v>
      </c>
      <c r="E31" s="461">
        <v>31</v>
      </c>
      <c r="F31" s="190">
        <f>'T3010'!G74</f>
        <v>0</v>
      </c>
      <c r="H31" s="2"/>
      <c r="I31" s="2"/>
      <c r="J31" s="2"/>
      <c r="K31" s="2"/>
      <c r="L31" s="2"/>
      <c r="M31" s="2"/>
      <c r="O31" s="20"/>
    </row>
    <row r="32" spans="2:15" s="1" customFormat="1" ht="36" customHeight="1" x14ac:dyDescent="0.2">
      <c r="B32" s="456" t="str">
        <f>IF(G4=2,"Traitements, salaires, avantages et honoraires","Wages and salaries, benefits and fees")</f>
        <v>Wages and salaries, benefits and fees</v>
      </c>
      <c r="C32" s="422">
        <v>5130</v>
      </c>
      <c r="D32" s="208" t="s">
        <v>320</v>
      </c>
      <c r="E32" s="461">
        <v>32</v>
      </c>
      <c r="F32" s="190">
        <f>'T3010'!G75</f>
        <v>0</v>
      </c>
      <c r="H32" s="2"/>
      <c r="I32" s="2"/>
      <c r="J32" s="2"/>
      <c r="K32" s="2"/>
      <c r="L32" s="2"/>
      <c r="M32" s="2"/>
      <c r="O32" s="20"/>
    </row>
    <row r="33" spans="2:16" s="1" customFormat="1" ht="36" customHeight="1" x14ac:dyDescent="0.2">
      <c r="B33" s="456" t="str">
        <f>IF(G4=2,"Fournitures et biens achetés ou reçus en donation, qui ont été utilisés au cours de l’exercice","Cost of supplies and property purchased")</f>
        <v>Cost of supplies and property purchased</v>
      </c>
      <c r="C33" s="410"/>
      <c r="D33" s="208" t="s">
        <v>321</v>
      </c>
      <c r="E33" s="461">
        <v>33</v>
      </c>
      <c r="F33" s="190"/>
      <c r="H33" s="2"/>
      <c r="I33" s="2"/>
      <c r="J33" s="2"/>
      <c r="K33" s="2"/>
      <c r="L33" s="2"/>
      <c r="M33" s="2"/>
      <c r="O33" s="20"/>
    </row>
    <row r="34" spans="2:16" s="1" customFormat="1" ht="36" customHeight="1" x14ac:dyDescent="0.2">
      <c r="B34" s="456"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410">
        <v>5530</v>
      </c>
      <c r="D34" s="208" t="s">
        <v>322</v>
      </c>
      <c r="E34" s="420">
        <v>35</v>
      </c>
      <c r="F34" s="190">
        <f>'T3010'!G79</f>
        <v>0</v>
      </c>
      <c r="H34"/>
      <c r="I34"/>
      <c r="J34"/>
      <c r="K34"/>
      <c r="L34"/>
      <c r="M34"/>
      <c r="O34" s="20"/>
    </row>
    <row r="35" spans="2:16" s="1" customFormat="1" ht="63.75" x14ac:dyDescent="0.2">
      <c r="B35" s="456" t="str">
        <f>IF(G4=2,"Autres dépenses","Other expenditures")</f>
        <v>Other expenditures</v>
      </c>
      <c r="C35" s="447" t="s">
        <v>522</v>
      </c>
      <c r="D35" s="208" t="s">
        <v>323</v>
      </c>
      <c r="E35" s="462">
        <v>36</v>
      </c>
      <c r="F35" s="190">
        <f>'T3010'!G70+'T3010'!G80</f>
        <v>0</v>
      </c>
      <c r="H35"/>
      <c r="I35"/>
      <c r="J35"/>
      <c r="K35"/>
      <c r="L35"/>
      <c r="M35"/>
      <c r="O35" s="20"/>
    </row>
    <row r="36" spans="2:16" s="1" customFormat="1" ht="36" customHeight="1" x14ac:dyDescent="0.2">
      <c r="B36" s="463" t="str">
        <f>IF(G4=2,"Sous-Total","Sub-Total")</f>
        <v>Sub-Total</v>
      </c>
      <c r="C36" s="451" t="str">
        <f>IF(G4=2,"Somme (q) à (aa)","Sum (q) to (aa)")</f>
        <v>Sum (q) to (aa)</v>
      </c>
      <c r="D36" s="464" t="s">
        <v>324</v>
      </c>
      <c r="E36" s="465">
        <v>37</v>
      </c>
      <c r="F36" s="428">
        <f>SUM(F25:F35)</f>
        <v>0</v>
      </c>
      <c r="H36" s="2"/>
      <c r="I36" s="2"/>
      <c r="J36" s="2"/>
      <c r="K36" s="2"/>
      <c r="L36" s="2"/>
      <c r="M36" s="2"/>
      <c r="O36" s="20"/>
    </row>
    <row r="37" spans="2:16" s="1" customFormat="1" ht="36" customHeight="1" x14ac:dyDescent="0.2">
      <c r="B37" s="456" t="str">
        <f>IF(G4=2,"Partie du montant de la ligne 37 qui se rapporte à:","Portion of the amount from line 37 that pertains to:")</f>
        <v>Portion of the amount from line 37 that pertains to:</v>
      </c>
      <c r="C37" s="466"/>
      <c r="D37" s="435"/>
      <c r="E37" s="467"/>
      <c r="F37" s="468"/>
      <c r="H37" s="2"/>
      <c r="I37" s="2"/>
      <c r="J37" s="2"/>
      <c r="K37" s="2"/>
      <c r="L37" s="2"/>
      <c r="M37" s="2"/>
      <c r="O37" s="20"/>
    </row>
    <row r="38" spans="2:16" s="1" customFormat="1" ht="63" customHeight="1" x14ac:dyDescent="0.2">
      <c r="B38" s="458" t="str">
        <f>IF(G4=2,"aux activités liées aux objectifs de l’organisme","activities related to the organization’s objectives")</f>
        <v>activities related to the organization’s objectives</v>
      </c>
      <c r="C38" s="410" t="s">
        <v>518</v>
      </c>
      <c r="D38" s="435" t="s">
        <v>325</v>
      </c>
      <c r="E38" s="445">
        <v>37.1</v>
      </c>
      <c r="F38" s="190">
        <f>'T3010'!F82</f>
        <v>0</v>
      </c>
      <c r="H38" s="2"/>
      <c r="I38" s="2"/>
      <c r="J38" s="2"/>
      <c r="K38" s="2"/>
      <c r="L38" s="2"/>
      <c r="M38" s="2"/>
      <c r="O38" s="20"/>
    </row>
    <row r="39" spans="2:16" s="1" customFormat="1" ht="36" customHeight="1" x14ac:dyDescent="0.2">
      <c r="B39" s="458" t="str">
        <f>IF(G4=2,"à la gestion et à l’administration générale","management and general administration")</f>
        <v>management and general administration</v>
      </c>
      <c r="C39" s="410" t="s">
        <v>467</v>
      </c>
      <c r="D39" s="435" t="s">
        <v>326</v>
      </c>
      <c r="E39" s="445">
        <v>37.200000000000003</v>
      </c>
      <c r="F39" s="190">
        <f>'T3010'!F83</f>
        <v>0</v>
      </c>
      <c r="H39" s="1831"/>
      <c r="I39" s="1831"/>
      <c r="J39" s="1831"/>
      <c r="K39" s="1831"/>
      <c r="L39" s="1831"/>
      <c r="M39" s="1831"/>
      <c r="O39" s="20"/>
    </row>
    <row r="40" spans="2:16" s="1" customFormat="1" ht="36" customHeight="1" x14ac:dyDescent="0.2">
      <c r="B40" s="458" t="str">
        <f>IF(G4=2,"aux activités de financement","fundraising activities")</f>
        <v>fundraising activities</v>
      </c>
      <c r="C40" s="410" t="s">
        <v>466</v>
      </c>
      <c r="D40" s="435" t="s">
        <v>327</v>
      </c>
      <c r="E40" s="445">
        <v>37.299999999999997</v>
      </c>
      <c r="F40" s="190">
        <f>'T3010'!F84</f>
        <v>0</v>
      </c>
      <c r="O40" s="20"/>
    </row>
    <row r="41" spans="2:16" s="1" customFormat="1" ht="36" customHeight="1" x14ac:dyDescent="0.2">
      <c r="B41" s="458" t="str">
        <f>IF(G4=2,"aux activités politiques","political activities")</f>
        <v>political activities</v>
      </c>
      <c r="C41" s="410"/>
      <c r="D41" s="208" t="s">
        <v>328</v>
      </c>
      <c r="E41" s="445">
        <v>37.4</v>
      </c>
      <c r="F41" s="431"/>
      <c r="O41" s="20"/>
    </row>
    <row r="42" spans="2:16" s="1" customFormat="1" ht="36" customHeight="1" x14ac:dyDescent="0.2">
      <c r="B42" s="458" t="str">
        <f>IF(G4=2,"aux biens accumulés avec l’autorisation de Revenu Québec","other activities")</f>
        <v>other activities</v>
      </c>
      <c r="C42" s="410"/>
      <c r="D42" s="208" t="s">
        <v>329</v>
      </c>
      <c r="E42" s="445">
        <v>37.5</v>
      </c>
      <c r="F42" s="431"/>
      <c r="O42" s="20"/>
    </row>
    <row r="43" spans="2:16" s="1" customFormat="1" ht="36" customHeight="1" x14ac:dyDescent="0.2">
      <c r="B43" s="456" t="str">
        <f>IF(G4=2,"Total des dons faits à des donataires reconnus","Total gifts made to qualified donees (see Part 4)")</f>
        <v>Total gifts made to qualified donees (see Part 4)</v>
      </c>
      <c r="C43" s="410">
        <v>5810</v>
      </c>
      <c r="D43" s="208" t="s">
        <v>330</v>
      </c>
      <c r="E43" s="445">
        <v>38</v>
      </c>
      <c r="F43" s="431">
        <f>'T3010'!G87</f>
        <v>0</v>
      </c>
      <c r="H43" s="1266" t="str">
        <f>IF(G4=2,IF(F43&gt;0,"←  L'annexe C doit être complétée","L'annexe C n'est pas nécessaire"),IF(G4=1,IF(F43&lt;&gt;0,"← Annex C must be filled out","Annex C is not required")))</f>
        <v>Annex C is not required</v>
      </c>
      <c r="I43" s="1267"/>
      <c r="J43" s="1267"/>
      <c r="K43" s="1267"/>
      <c r="L43" s="1267"/>
      <c r="M43" s="1267"/>
      <c r="O43" s="20"/>
    </row>
    <row r="44" spans="2:16" s="1" customFormat="1" ht="47.25" customHeight="1" x14ac:dyDescent="0.2">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410"/>
      <c r="D44" s="208" t="s">
        <v>332</v>
      </c>
      <c r="E44" s="445">
        <v>38.1</v>
      </c>
      <c r="F44" s="431"/>
      <c r="H44" s="2"/>
      <c r="I44" s="2"/>
      <c r="J44" s="2"/>
      <c r="K44" s="2"/>
      <c r="L44" s="2"/>
      <c r="M44" s="2"/>
      <c r="O44" s="20"/>
    </row>
    <row r="45" spans="2:16" s="1" customFormat="1" ht="36" customHeight="1" x14ac:dyDescent="0.2">
      <c r="B45" s="423" t="str">
        <f>IF(G4=2,"Total des dépenses","Total Expenditures")</f>
        <v>Total Expenditures</v>
      </c>
      <c r="C45" s="424" t="s">
        <v>357</v>
      </c>
      <c r="D45" s="437" t="s">
        <v>334</v>
      </c>
      <c r="E45" s="426">
        <v>39</v>
      </c>
      <c r="F45" s="428">
        <f>SUM(F36,F43)</f>
        <v>0</v>
      </c>
      <c r="O45" s="20"/>
    </row>
    <row r="46" spans="2:16" s="1" customFormat="1" ht="36" customHeight="1" x14ac:dyDescent="0.2">
      <c r="B46" s="440" t="str">
        <f>IF(G4=2,"Actif","Assets")</f>
        <v>Assets</v>
      </c>
      <c r="C46" s="441"/>
      <c r="D46" s="441"/>
      <c r="E46" s="441"/>
      <c r="F46" s="442"/>
      <c r="H46" s="2"/>
      <c r="I46" s="2"/>
      <c r="J46" s="2"/>
      <c r="K46" s="2"/>
      <c r="L46" s="2"/>
      <c r="M46" s="2"/>
      <c r="O46" s="20"/>
    </row>
    <row r="47" spans="2:16" s="1" customFormat="1" ht="36" customHeight="1" x14ac:dyDescent="0.2">
      <c r="B47" s="456" t="str">
        <f>IF(G4=2,"Liquidités","Liquid assets")</f>
        <v>Liquid assets</v>
      </c>
      <c r="C47" s="410" t="s">
        <v>521</v>
      </c>
      <c r="D47" s="407" t="s">
        <v>335</v>
      </c>
      <c r="E47" s="420">
        <v>40</v>
      </c>
      <c r="F47" s="190">
        <f>'T3010'!G33</f>
        <v>0</v>
      </c>
      <c r="H47" s="2"/>
      <c r="I47" s="2"/>
      <c r="J47" s="2"/>
      <c r="K47" s="2"/>
      <c r="L47" s="2"/>
      <c r="M47" s="2"/>
    </row>
    <row r="48" spans="2:16" s="1" customFormat="1" ht="75.75" customHeight="1" x14ac:dyDescent="0.2">
      <c r="B48" s="470" t="str">
        <f>IF(G4=2,O48,P48)</f>
        <v>Amounts receivable from founders, officers, directors, members, shareholders, trustees or any organization not dealing at arm’s length with such persons</v>
      </c>
      <c r="C48" s="422"/>
      <c r="D48" s="407" t="s">
        <v>336</v>
      </c>
      <c r="E48" s="420">
        <v>41</v>
      </c>
      <c r="F48" s="190"/>
      <c r="H48" s="2"/>
      <c r="I48" s="2"/>
      <c r="J48" s="2"/>
      <c r="K48" s="2"/>
      <c r="L48" s="2"/>
      <c r="M48" s="2"/>
      <c r="O48" s="234" t="s">
        <v>358</v>
      </c>
      <c r="P48" s="234" t="s">
        <v>359</v>
      </c>
    </row>
    <row r="49" spans="2:16" s="1" customFormat="1" ht="36" customHeight="1" x14ac:dyDescent="0.2">
      <c r="B49" s="456" t="str">
        <f>IF(G4=2,"Sommes à recevoir d’autres sources","Amounts receivable from other sources")</f>
        <v>Amounts receivable from other sources</v>
      </c>
      <c r="C49" s="497" t="s">
        <v>524</v>
      </c>
      <c r="D49" s="407" t="s">
        <v>337</v>
      </c>
      <c r="E49" s="420">
        <v>42</v>
      </c>
      <c r="F49" s="190">
        <f>'T3010'!G35</f>
        <v>0</v>
      </c>
      <c r="H49" s="2"/>
      <c r="I49" s="2"/>
      <c r="J49" s="2"/>
      <c r="K49" s="2"/>
      <c r="L49" s="2"/>
      <c r="M49" s="2"/>
    </row>
    <row r="50" spans="2:16" s="1" customFormat="1" ht="36" customHeight="1" x14ac:dyDescent="0.2">
      <c r="B50" s="456" t="str">
        <f>IF(G4=2,"Placements à long terme","Long-term Investments")</f>
        <v>Long-term Investments</v>
      </c>
      <c r="C50" s="422">
        <v>1300</v>
      </c>
      <c r="D50" s="407" t="s">
        <v>338</v>
      </c>
      <c r="E50" s="420">
        <v>43</v>
      </c>
      <c r="F50" s="190">
        <f>'T3010'!G37</f>
        <v>0</v>
      </c>
    </row>
    <row r="51" spans="2:16" s="1" customFormat="1" ht="36" customHeight="1" x14ac:dyDescent="0.2">
      <c r="B51" s="456" t="str">
        <f>IF(G4=2,"Stocks servant aux activités liées aux objectifs de l’organisme","Inventory used in activities related to the organization’s objectives")</f>
        <v>Inventory used in activities related to the organization’s objectives</v>
      </c>
      <c r="C51" s="410" t="s">
        <v>312</v>
      </c>
      <c r="D51" s="208" t="s">
        <v>339</v>
      </c>
      <c r="E51" s="420">
        <v>44</v>
      </c>
      <c r="F51" s="190">
        <f>'T3010'!G38</f>
        <v>0</v>
      </c>
      <c r="H51" s="2"/>
      <c r="I51" s="2"/>
      <c r="J51" s="2"/>
      <c r="K51" s="2"/>
      <c r="L51" s="2"/>
      <c r="M51" s="2"/>
    </row>
    <row r="52" spans="2:16" s="1" customFormat="1" ht="36" customHeight="1" x14ac:dyDescent="0.2">
      <c r="B52" s="456" t="str">
        <f>IF(G4=2,"Immobilisations (terrains, bâtiments, véhicules, etc.)","Capital Property (land, building, vehicles, etc.)")</f>
        <v>Capital Property (land, building, vehicles, etc.)</v>
      </c>
      <c r="C52" s="410" t="s">
        <v>313</v>
      </c>
      <c r="D52" s="208" t="s">
        <v>340</v>
      </c>
      <c r="E52" s="420">
        <v>45</v>
      </c>
      <c r="F52" s="190">
        <f>'T3010'!G39</f>
        <v>0</v>
      </c>
      <c r="H52" s="2"/>
      <c r="I52" s="2"/>
      <c r="J52" s="2"/>
      <c r="K52" s="2"/>
      <c r="L52" s="2"/>
      <c r="M52" s="2"/>
    </row>
    <row r="53" spans="2:16" s="1" customFormat="1" ht="35.25" customHeight="1" x14ac:dyDescent="0.2">
      <c r="B53" s="456" t="str">
        <f>IF(G4=2,"Autres éléments d'actif","Other Assets")</f>
        <v>Other Assets</v>
      </c>
      <c r="C53" s="422"/>
      <c r="D53" s="435" t="s">
        <v>341</v>
      </c>
      <c r="E53" s="420">
        <v>46</v>
      </c>
      <c r="F53" s="190"/>
      <c r="H53" s="2"/>
      <c r="I53" s="2"/>
      <c r="J53" s="2"/>
      <c r="K53" s="2"/>
      <c r="L53" s="2"/>
      <c r="M53" s="2"/>
    </row>
    <row r="54" spans="2:16" s="1" customFormat="1" ht="36" customHeight="1" x14ac:dyDescent="0.2">
      <c r="B54" s="423" t="str">
        <f>IF(G4=2,"Total de l’actif","Total Assets")</f>
        <v>Total Assets</v>
      </c>
      <c r="C54" s="424" t="str">
        <f>IF(G4=2,"Somme (ak) à (aq)","Sum (ak) to (aq)")</f>
        <v>Sum (ak) to (aq)</v>
      </c>
      <c r="D54" s="425" t="s">
        <v>342</v>
      </c>
      <c r="E54" s="426">
        <v>47</v>
      </c>
      <c r="F54" s="428">
        <f>SUM(F47:F53)</f>
        <v>0</v>
      </c>
      <c r="H54" s="2"/>
      <c r="I54" s="2"/>
      <c r="J54" s="2"/>
      <c r="K54" s="2"/>
      <c r="L54" s="2"/>
      <c r="M54" s="2"/>
    </row>
    <row r="55" spans="2:16" s="1" customFormat="1" ht="36" customHeight="1" x14ac:dyDescent="0.2">
      <c r="B55" s="440" t="str">
        <f>IF(G4=2,"Passif","Liabilities")</f>
        <v>Liabilities</v>
      </c>
      <c r="C55" s="441"/>
      <c r="D55" s="441"/>
      <c r="E55" s="441"/>
      <c r="F55" s="442"/>
      <c r="H55" s="2"/>
      <c r="I55" s="2"/>
      <c r="J55" s="2"/>
      <c r="K55" s="454"/>
      <c r="L55" s="2"/>
      <c r="M55" s="2"/>
    </row>
    <row r="56" spans="2:16" s="1" customFormat="1" ht="36" customHeight="1" x14ac:dyDescent="0.2">
      <c r="B56" s="456" t="str">
        <f>IF(G4=2,"Comptes fournisseurs et charges à payer","Trade accounts payable and accrued liabilities")</f>
        <v>Trade accounts payable and accrued liabilities</v>
      </c>
      <c r="C56" s="422">
        <v>2100</v>
      </c>
      <c r="D56" s="208" t="s">
        <v>343</v>
      </c>
      <c r="E56" s="429">
        <v>50</v>
      </c>
      <c r="F56" s="190">
        <f>'T3010'!G44</f>
        <v>0</v>
      </c>
      <c r="H56" s="2"/>
      <c r="I56" s="2"/>
      <c r="J56" s="2"/>
      <c r="K56" s="2"/>
      <c r="L56" s="2"/>
      <c r="M56" s="2"/>
    </row>
    <row r="57" spans="2:16" s="1" customFormat="1" ht="84.75" customHeight="1" x14ac:dyDescent="0.2">
      <c r="B57" s="456" t="str">
        <f>IF(G4=2,O57,P57)</f>
        <v>Amounts payable to founders, officers, directors, members, shareholders, trustees or any organization not dealing at arm’s length with such persons</v>
      </c>
      <c r="C57" s="410"/>
      <c r="D57" s="208" t="s">
        <v>344</v>
      </c>
      <c r="E57" s="420">
        <v>51</v>
      </c>
      <c r="F57" s="431"/>
      <c r="H57" s="2"/>
      <c r="I57" s="2"/>
      <c r="J57" s="2"/>
      <c r="K57" s="2"/>
      <c r="L57" s="2"/>
      <c r="M57" s="2"/>
      <c r="O57" s="1" t="s">
        <v>360</v>
      </c>
      <c r="P57" s="1" t="s">
        <v>361</v>
      </c>
    </row>
    <row r="58" spans="2:16" s="1" customFormat="1" ht="36" customHeight="1" x14ac:dyDescent="0.2">
      <c r="B58" s="456" t="str">
        <f>IF(G4=2,"Autres sommes à payer","Other amounts payable")</f>
        <v>Other amounts payable</v>
      </c>
      <c r="C58" s="422"/>
      <c r="D58" s="208" t="s">
        <v>345</v>
      </c>
      <c r="E58" s="429">
        <v>52</v>
      </c>
      <c r="F58" s="190"/>
      <c r="H58" s="2"/>
      <c r="I58" s="2"/>
      <c r="J58" s="2"/>
      <c r="K58" s="2"/>
      <c r="L58" s="2"/>
      <c r="M58" s="2"/>
    </row>
    <row r="59" spans="2:16" s="2" customFormat="1" ht="36" customHeight="1" x14ac:dyDescent="0.2">
      <c r="B59" s="456" t="str">
        <f>IF(G4=2,"Autres éléments du passif","Other Liabilities")</f>
        <v>Other Liabilities</v>
      </c>
      <c r="C59" s="422">
        <v>2300</v>
      </c>
      <c r="D59" s="208" t="s">
        <v>346</v>
      </c>
      <c r="E59" s="429">
        <v>53</v>
      </c>
      <c r="F59" s="190">
        <f>'T3010'!G47</f>
        <v>0</v>
      </c>
    </row>
    <row r="60" spans="2:16" s="1" customFormat="1" ht="36" customHeight="1" x14ac:dyDescent="0.2">
      <c r="B60" s="423" t="str">
        <f>IF(G4=2,"Total du passif","Total Liabilities")</f>
        <v>Total Liabilities</v>
      </c>
      <c r="C60" s="424" t="str">
        <f>IF(G4=2,"Somme (as) à (av)","Sum (as) to (av)")</f>
        <v>Sum (as) to (av)</v>
      </c>
      <c r="D60" s="425" t="s">
        <v>347</v>
      </c>
      <c r="E60" s="426">
        <v>54</v>
      </c>
      <c r="F60" s="428">
        <f>SUM(F56:F59)</f>
        <v>0</v>
      </c>
      <c r="H60" s="2"/>
      <c r="I60" s="2"/>
      <c r="J60" s="2"/>
      <c r="K60" s="2"/>
      <c r="L60" s="2"/>
      <c r="M60" s="2"/>
    </row>
    <row r="61" spans="2:16" s="1" customFormat="1" ht="20.100000000000001" customHeight="1" x14ac:dyDescent="0.2">
      <c r="B61"/>
      <c r="C61" s="398"/>
      <c r="D61" s="91"/>
      <c r="E61" s="398"/>
      <c r="F61" s="399"/>
      <c r="H61"/>
      <c r="I61"/>
      <c r="J61"/>
      <c r="K61"/>
      <c r="L61"/>
      <c r="M61"/>
    </row>
    <row r="62" spans="2:16" x14ac:dyDescent="0.2">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Z132"/>
  <sheetViews>
    <sheetView showGridLines="0" showZeros="0" zoomScale="85" zoomScaleNormal="85" zoomScalePageLayoutView="70" workbookViewId="0">
      <selection activeCell="B3" sqref="B3:G3"/>
    </sheetView>
  </sheetViews>
  <sheetFormatPr defaultColWidth="8.7109375" defaultRowHeight="12.75" x14ac:dyDescent="0.2"/>
  <cols>
    <col min="1" max="1" width="4.85546875" customWidth="1"/>
    <col min="2" max="2" width="27.42578125" customWidth="1"/>
    <col min="3" max="3" width="18.85546875" customWidth="1"/>
    <col min="4" max="4" width="17.5703125" customWidth="1"/>
    <col min="5" max="5" width="18.28515625" customWidth="1"/>
    <col min="6" max="6" width="21.140625" customWidth="1"/>
    <col min="7" max="7" width="18.5703125" customWidth="1"/>
    <col min="8" max="8" width="1.28515625" customWidth="1"/>
    <col min="9" max="26" width="9.140625" hidden="1" customWidth="1"/>
    <col min="27" max="28" width="9.140625" customWidth="1"/>
    <col min="29" max="29" width="4.42578125" customWidth="1"/>
    <col min="30" max="52" width="9.140625" customWidth="1"/>
  </cols>
  <sheetData>
    <row r="1" spans="2:21" ht="16.5" customHeight="1" x14ac:dyDescent="0.2">
      <c r="L1" s="471">
        <f>'Set up ~ Config'!L10</f>
        <v>1</v>
      </c>
    </row>
    <row r="2" spans="2:21" ht="21" customHeight="1" x14ac:dyDescent="0.2"/>
    <row r="3" spans="2:21" ht="33.75" customHeight="1" x14ac:dyDescent="0.4">
      <c r="B3" s="1511" t="str">
        <f>IF(L1=2,"Calculs des remises de taxes","Tax Rebate Calculations")</f>
        <v>Tax Rebate Calculations</v>
      </c>
      <c r="C3" s="1511"/>
      <c r="D3" s="1511"/>
      <c r="E3" s="1511"/>
      <c r="F3" s="1511"/>
      <c r="G3" s="1511"/>
    </row>
    <row r="4" spans="2:21" ht="33.75" customHeight="1" x14ac:dyDescent="0.2">
      <c r="B4" s="1717" t="str">
        <f>'Set up ~ Config'!B2:J2</f>
        <v xml:space="preserve">SSC </v>
      </c>
      <c r="C4" s="1717"/>
      <c r="D4" s="1717"/>
      <c r="E4" s="1717"/>
      <c r="F4" s="1717"/>
      <c r="G4" s="1717"/>
    </row>
    <row r="5" spans="2:21" ht="27.75" customHeight="1" x14ac:dyDescent="0.25">
      <c r="B5" s="1835" t="str">
        <f>'Jrnl Rev'!B3:P3</f>
        <v>For the period from 2024-09-01 to 2025-08-31</v>
      </c>
      <c r="C5" s="1835"/>
      <c r="D5" s="1835"/>
      <c r="E5" s="1835"/>
      <c r="F5" s="1835"/>
      <c r="G5" s="1835"/>
    </row>
    <row r="6" spans="2:21" ht="7.5" customHeight="1" x14ac:dyDescent="0.3">
      <c r="B6" s="1134"/>
      <c r="C6" s="1134"/>
      <c r="D6" s="1134"/>
      <c r="E6" s="1134"/>
      <c r="F6" s="1134"/>
    </row>
    <row r="7" spans="2:21" ht="77.25" customHeight="1" x14ac:dyDescent="0.2">
      <c r="B7" s="1836"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v>
      </c>
      <c r="C7" s="1836"/>
      <c r="D7" s="1836"/>
      <c r="E7" s="1836"/>
      <c r="F7" s="1836"/>
      <c r="G7" s="1836"/>
      <c r="U7" s="210" t="s">
        <v>527</v>
      </c>
    </row>
    <row r="8" spans="2:21" ht="8.25" customHeight="1" x14ac:dyDescent="0.3">
      <c r="B8" s="1135"/>
      <c r="C8" s="1135"/>
      <c r="D8" s="1135"/>
      <c r="E8" s="1135"/>
      <c r="F8" s="1135"/>
      <c r="G8" s="1136"/>
      <c r="U8" s="210" t="s">
        <v>526</v>
      </c>
    </row>
    <row r="9" spans="2:21" ht="63.75" customHeight="1" x14ac:dyDescent="0.2">
      <c r="B9" s="1836"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36"/>
      <c r="D9" s="1836"/>
      <c r="E9" s="1836"/>
      <c r="F9" s="1836"/>
      <c r="G9" s="1836"/>
      <c r="U9" s="20" t="s">
        <v>547</v>
      </c>
    </row>
    <row r="10" spans="2:21" ht="9" customHeight="1" x14ac:dyDescent="0.3">
      <c r="B10" s="1135"/>
      <c r="C10" s="1135"/>
      <c r="D10" s="1135"/>
      <c r="E10" s="1135"/>
      <c r="F10" s="1135"/>
      <c r="G10" s="1136"/>
      <c r="U10" s="20" t="s">
        <v>362</v>
      </c>
    </row>
    <row r="11" spans="2:21" ht="43.5" customHeight="1" x14ac:dyDescent="0.2">
      <c r="B11" s="1836"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36"/>
      <c r="D11" s="1836"/>
      <c r="E11" s="1836"/>
      <c r="F11" s="1836"/>
      <c r="G11" s="1836"/>
      <c r="U11" s="20" t="s">
        <v>363</v>
      </c>
    </row>
    <row r="12" spans="2:21" ht="27" customHeight="1" x14ac:dyDescent="0.2">
      <c r="B12" s="1836" t="str">
        <f>IF(L1=2,U7,U8)</f>
        <v>The Rebate Reimbursement may be claimed every 3 or 6 months or in a single request at the Year-End. The frequency of claim of the parent organization must be followed.</v>
      </c>
      <c r="C12" s="1836"/>
      <c r="D12" s="1836"/>
      <c r="E12" s="1836"/>
      <c r="F12" s="1836"/>
      <c r="G12" s="1836"/>
      <c r="U12" s="20"/>
    </row>
    <row r="13" spans="2:21" ht="12.75" customHeight="1" x14ac:dyDescent="0.2">
      <c r="B13" s="1137"/>
      <c r="C13" s="1137"/>
      <c r="D13" s="1137"/>
      <c r="E13" s="1137"/>
      <c r="F13" s="1137"/>
      <c r="G13" s="1137"/>
      <c r="U13" s="20"/>
    </row>
    <row r="14" spans="2:21" ht="18.75" customHeight="1" x14ac:dyDescent="0.2">
      <c r="B14" s="134"/>
      <c r="C14" s="134"/>
      <c r="D14" s="134"/>
      <c r="E14" s="134"/>
      <c r="F14" s="134"/>
      <c r="G14" s="134"/>
      <c r="U14" s="20" t="s">
        <v>548</v>
      </c>
    </row>
    <row r="15" spans="2:21" ht="44.25" customHeight="1" x14ac:dyDescent="0.2">
      <c r="B15" s="1138" t="str">
        <f>IF($L$1=2,IF('Set up ~ Config'!$G$32=6,"1er Trimestre
Juil-Août-Sept","1er Trimestre
 Sept-Oct-Nov"),IF('Set up ~ Config'!$G$32=6,"Quarter 1
Jul-Aug-Sep","Quarter 1
Sep-Oct-Nov"))</f>
        <v>Quarter 1
Sep-Oct-Nov</v>
      </c>
      <c r="C15" s="1139" t="str">
        <f>IF($L$1=2,"Taxes sur les dépenses","Taxes on Expenses")</f>
        <v>Taxes on Expenses</v>
      </c>
      <c r="D15" s="1139" t="str">
        <f>IF($L$1=2,"Taxes remboursées par le Gouv't","Taxes repaid by Gov't")</f>
        <v>Taxes repaid by Gov't</v>
      </c>
      <c r="E15" s="1139" t="str">
        <f>IF($L$1=2,"Taxes nettes payées","Net Taxes Paid")</f>
        <v>Net Taxes Paid</v>
      </c>
      <c r="F15" s="1139" t="str">
        <f>IF($L$1=2,"Taux de la taxe","Tax Rates")</f>
        <v>Tax Rates</v>
      </c>
      <c r="G15" s="1139" t="str">
        <f>IF($L$1=2,"TVH ventilée +TPS+TVP","HST Broken Down=GST+PST")</f>
        <v>HST Broken Down=GST+PST</v>
      </c>
      <c r="U15" s="20" t="s">
        <v>364</v>
      </c>
    </row>
    <row r="16" spans="2:21" ht="4.5" hidden="1" customHeight="1" x14ac:dyDescent="0.2">
      <c r="B16" s="1140"/>
      <c r="C16" s="1141"/>
      <c r="D16" s="1142"/>
      <c r="E16" s="1142"/>
      <c r="F16" s="1142"/>
      <c r="G16" s="1143"/>
      <c r="H16" s="399"/>
      <c r="I16" s="399"/>
      <c r="U16" s="472"/>
    </row>
    <row r="17" spans="2:26" ht="20.100000000000001" customHeight="1" x14ac:dyDescent="0.2">
      <c r="B17" s="1144" t="str">
        <f>IF($L$1=2,"TVH/Total","HST/Total")</f>
        <v>HST/Total</v>
      </c>
      <c r="C17" s="190">
        <f>SUMIF('Jrnl Exp ~ Dép'!$O$16:$O$515,1,'Jrnl Exp ~ Dép'!$K$16:$K$515)</f>
        <v>0</v>
      </c>
      <c r="D17" s="190">
        <f>SUMIF('Jrnl Rev'!$O$16:$O$140,1,'Jrnl Rev'!$K$16:$K$140)</f>
        <v>0</v>
      </c>
      <c r="E17" s="190">
        <f>C17-D17</f>
        <v>0</v>
      </c>
      <c r="F17" s="1145">
        <f>LOOKUP($V$21,$R$25:$S$37)+0.05</f>
        <v>0.12000000000000001</v>
      </c>
      <c r="G17" s="1146"/>
      <c r="H17" s="399"/>
      <c r="I17" s="399"/>
      <c r="U17" s="20" t="s">
        <v>365</v>
      </c>
    </row>
    <row r="18" spans="2:26" ht="4.5" hidden="1" customHeight="1" x14ac:dyDescent="0.2">
      <c r="B18" s="1147"/>
      <c r="C18" s="1148"/>
      <c r="D18" s="1148"/>
      <c r="E18" s="1148"/>
      <c r="F18" s="1149"/>
      <c r="G18" s="1149"/>
      <c r="H18" s="399"/>
      <c r="I18" s="399"/>
    </row>
    <row r="19" spans="2:26" ht="20.100000000000001" customHeight="1" x14ac:dyDescent="0.2">
      <c r="B19" s="1144" t="str">
        <f>IF($L$1=2,"TPS","GST")</f>
        <v>GST</v>
      </c>
      <c r="C19" s="190">
        <f>SUMIF('Jrnl Exp ~ Dép'!$O$16:$O$515,1,'Jrnl Exp ~ Dép'!$L$16:$L$515)</f>
        <v>0</v>
      </c>
      <c r="D19" s="190">
        <f>SUMIF('Jrnl Rev'!$O$16:$O$140,1,'Jrnl Rev'!$L$16:$L$140)</f>
        <v>0</v>
      </c>
      <c r="E19" s="190">
        <f>C19-D19</f>
        <v>0</v>
      </c>
      <c r="F19" s="1145">
        <f>$S$39</f>
        <v>0.05</v>
      </c>
      <c r="G19" s="190">
        <f>(E17*F19/F17)+E19</f>
        <v>0</v>
      </c>
      <c r="H19" s="399"/>
      <c r="I19" s="399"/>
      <c r="U19" s="19" t="s">
        <v>366</v>
      </c>
      <c r="V19" s="473">
        <f>'Set up ~ Config'!G38</f>
        <v>0</v>
      </c>
      <c r="W19" s="473"/>
    </row>
    <row r="20" spans="2:26" ht="16.5" hidden="1" customHeight="1" x14ac:dyDescent="0.2">
      <c r="B20" s="1147"/>
      <c r="C20" s="1148"/>
      <c r="D20" s="1148"/>
      <c r="E20" s="1148"/>
      <c r="F20" s="1150"/>
      <c r="G20" s="1151"/>
      <c r="H20" s="399"/>
      <c r="I20" s="399"/>
      <c r="U20" s="19" t="s">
        <v>367</v>
      </c>
      <c r="V20" s="473">
        <f>'Set up ~ Config'!G39</f>
        <v>0</v>
      </c>
      <c r="W20" s="473"/>
    </row>
    <row r="21" spans="2:26" ht="20.100000000000001" customHeight="1" x14ac:dyDescent="0.2">
      <c r="B21" s="1144" t="str">
        <f>IF($L$1=2,"TVP / TVQ","PST / QST")</f>
        <v>PST / QST</v>
      </c>
      <c r="C21" s="190">
        <f>SUMIF('Jrnl Exp ~ Dép'!$O$16:$O$515,1,'Jrnl Exp ~ Dép'!$M$16:$M$515)</f>
        <v>0</v>
      </c>
      <c r="D21" s="190">
        <f>SUMIF('Jrnl Rev'!$O$16:$O$140,1,'Jrnl Rev'!$M$16:$M$140)</f>
        <v>0</v>
      </c>
      <c r="E21" s="190">
        <f>C21-D21</f>
        <v>0</v>
      </c>
      <c r="F21" s="1145">
        <f>LOOKUP($V$21,$R$25:$S$37)</f>
        <v>7.0000000000000007E-2</v>
      </c>
      <c r="G21" s="190">
        <f>(E17*F21/F17)+E21</f>
        <v>0</v>
      </c>
      <c r="U21" s="19" t="s">
        <v>368</v>
      </c>
      <c r="V21" s="471" t="str">
        <f>'Set up ~ Config'!H125</f>
        <v>BC</v>
      </c>
      <c r="W21" s="473"/>
    </row>
    <row r="22" spans="2:26" ht="4.5" hidden="1" customHeight="1" x14ac:dyDescent="0.2">
      <c r="B22" s="1152"/>
      <c r="C22" s="1153"/>
      <c r="D22" s="1153"/>
      <c r="E22" s="1153"/>
      <c r="F22" s="1153"/>
      <c r="G22" s="1154"/>
    </row>
    <row r="23" spans="2:26" ht="9.9499999999999993" customHeight="1" x14ac:dyDescent="0.2"/>
    <row r="24" spans="2:26" ht="21.75" customHeight="1" x14ac:dyDescent="0.2">
      <c r="B24" s="1155" t="str">
        <f>IF($L$1=2,"Taxes","Taxes")</f>
        <v>Taxes</v>
      </c>
      <c r="C24" s="1139" t="str">
        <f>IF($L$1=2,"% de remise","% of Rebate")</f>
        <v>% of Rebate</v>
      </c>
      <c r="D24" s="1139" t="str">
        <f>IF($L$1=2,"Formulaires","Forms")</f>
        <v>Forms</v>
      </c>
      <c r="E24" s="1139" t="str">
        <f>IF($L$1=2,"Ligne","Line")</f>
        <v>Line</v>
      </c>
      <c r="F24" s="1139" t="str">
        <f>IF($L$1=2,"Montant réclamé","Claimed Amount")</f>
        <v>Claimed Amount</v>
      </c>
      <c r="R24" s="1332" t="s">
        <v>369</v>
      </c>
      <c r="S24" s="1332"/>
      <c r="U24" s="1333" t="s">
        <v>370</v>
      </c>
      <c r="V24" s="1333"/>
      <c r="W24" s="19"/>
      <c r="X24" s="26"/>
      <c r="Y24" s="26"/>
      <c r="Z24" s="26"/>
    </row>
    <row r="25" spans="2:26" ht="16.5" hidden="1" customHeight="1" x14ac:dyDescent="0.2">
      <c r="B25" s="1156"/>
      <c r="C25" s="1156"/>
      <c r="D25" s="1156"/>
      <c r="E25" s="1156"/>
      <c r="F25" s="1156"/>
      <c r="R25" s="18" t="s">
        <v>9</v>
      </c>
      <c r="S25" s="473">
        <f t="shared" ref="S25:S30" si="0">D113</f>
        <v>0</v>
      </c>
      <c r="U25" s="18" t="s">
        <v>9</v>
      </c>
      <c r="V25" s="473">
        <f t="shared" ref="V25:V30" si="1">D123</f>
        <v>0</v>
      </c>
      <c r="W25" s="18" t="s">
        <v>9</v>
      </c>
      <c r="X25" s="26"/>
      <c r="Y25" s="18" t="s">
        <v>9</v>
      </c>
      <c r="Z25" s="26"/>
    </row>
    <row r="26" spans="2:26" ht="19.5" customHeight="1" x14ac:dyDescent="0.2">
      <c r="B26" s="1144" t="str">
        <f>IF($L$1=2,"Fédéral (TPS)","Federal (GST)")</f>
        <v>Federal (GST)</v>
      </c>
      <c r="C26" s="1157">
        <f>$V$39</f>
        <v>0.5</v>
      </c>
      <c r="D26" s="146" t="str">
        <f>IF($V$21="QC","FP-2066","GST66")</f>
        <v>GST66</v>
      </c>
      <c r="E26" s="146">
        <f>$X$39</f>
        <v>305</v>
      </c>
      <c r="F26" s="1158">
        <f>G19*C26</f>
        <v>0</v>
      </c>
      <c r="R26" s="18" t="s">
        <v>11</v>
      </c>
      <c r="S26" s="473">
        <f t="shared" si="0"/>
        <v>7.0000000000000007E-2</v>
      </c>
      <c r="U26" s="18" t="s">
        <v>11</v>
      </c>
      <c r="V26" s="473">
        <f t="shared" si="1"/>
        <v>0</v>
      </c>
      <c r="W26" s="18" t="s">
        <v>11</v>
      </c>
      <c r="X26" s="19"/>
      <c r="Y26" s="18" t="s">
        <v>11</v>
      </c>
      <c r="Z26" s="19"/>
    </row>
    <row r="27" spans="2:26" ht="21.75" hidden="1" customHeight="1" x14ac:dyDescent="0.2">
      <c r="B27" s="1147"/>
      <c r="C27" s="1159"/>
      <c r="D27" s="1159"/>
      <c r="E27" s="1159"/>
      <c r="F27" s="1160"/>
      <c r="R27" s="18" t="s">
        <v>13</v>
      </c>
      <c r="S27" s="473">
        <f t="shared" si="0"/>
        <v>7.0000000000000007E-2</v>
      </c>
      <c r="U27" s="18" t="s">
        <v>13</v>
      </c>
      <c r="V27" s="473">
        <f t="shared" si="1"/>
        <v>0</v>
      </c>
      <c r="W27" s="18" t="s">
        <v>13</v>
      </c>
      <c r="X27" s="26"/>
      <c r="Y27" s="18" t="s">
        <v>13</v>
      </c>
      <c r="Z27" s="26"/>
    </row>
    <row r="28" spans="2:26" ht="19.5" customHeight="1" x14ac:dyDescent="0.2">
      <c r="B28" s="1144" t="str">
        <f>IF($L$1=2,"Provincial (TVP / TVQ)","Provincial (PST / QST)")</f>
        <v>Provincial (PST / QST)</v>
      </c>
      <c r="C28" s="1157">
        <f>LOOKUP($V$21,$U$25:$V$37)</f>
        <v>0</v>
      </c>
      <c r="D28" s="146">
        <f>LOOKUP($V$21,$Y$25:$Z$37)</f>
        <v>0</v>
      </c>
      <c r="E28" s="146">
        <f>LOOKUP($V$21,$W$25:$X$37)</f>
        <v>0</v>
      </c>
      <c r="F28" s="1158">
        <f>G21*C28</f>
        <v>0</v>
      </c>
      <c r="R28" s="18" t="s">
        <v>14</v>
      </c>
      <c r="S28" s="473">
        <f t="shared" si="0"/>
        <v>0.1</v>
      </c>
      <c r="U28" s="18" t="s">
        <v>14</v>
      </c>
      <c r="V28" s="473">
        <f t="shared" si="1"/>
        <v>0.5</v>
      </c>
      <c r="W28" s="18" t="s">
        <v>14</v>
      </c>
      <c r="X28" s="19" t="s">
        <v>371</v>
      </c>
      <c r="Y28" s="18" t="s">
        <v>14</v>
      </c>
      <c r="Z28" s="19" t="s">
        <v>372</v>
      </c>
    </row>
    <row r="29" spans="2:26" ht="15.75" hidden="1" customHeight="1" x14ac:dyDescent="0.2">
      <c r="B29" s="1156"/>
      <c r="C29" s="1156"/>
      <c r="D29" s="1156"/>
      <c r="E29" s="1156"/>
      <c r="F29" s="1161"/>
      <c r="R29" s="18" t="s">
        <v>16</v>
      </c>
      <c r="S29" s="473">
        <f t="shared" si="0"/>
        <v>0.1</v>
      </c>
      <c r="U29" s="18" t="s">
        <v>16</v>
      </c>
      <c r="V29" s="473">
        <f t="shared" si="1"/>
        <v>0.5</v>
      </c>
      <c r="W29" s="18" t="s">
        <v>16</v>
      </c>
      <c r="X29" s="19" t="s">
        <v>373</v>
      </c>
      <c r="Y29" s="18" t="s">
        <v>16</v>
      </c>
      <c r="Z29" s="19" t="s">
        <v>372</v>
      </c>
    </row>
    <row r="30" spans="2:26" ht="19.5" customHeight="1" x14ac:dyDescent="0.3">
      <c r="B30" s="1837" t="str">
        <f>IF($L$1=2,"Remise de taxes réclamée","Rebate to be claimed")</f>
        <v>Rebate to be claimed</v>
      </c>
      <c r="C30" s="1837"/>
      <c r="D30" s="1837"/>
      <c r="E30" s="1162" t="str">
        <f>IF(V21="QC","","409")</f>
        <v>409</v>
      </c>
      <c r="F30" s="1163">
        <f>SUM(F26,F28)</f>
        <v>0</v>
      </c>
      <c r="R30" s="18" t="s">
        <v>17</v>
      </c>
      <c r="S30" s="473">
        <f t="shared" si="0"/>
        <v>0.1</v>
      </c>
      <c r="U30" s="18" t="s">
        <v>17</v>
      </c>
      <c r="V30" s="473">
        <f t="shared" si="1"/>
        <v>0.5</v>
      </c>
      <c r="W30" s="18" t="s">
        <v>17</v>
      </c>
      <c r="X30" s="19" t="s">
        <v>374</v>
      </c>
      <c r="Y30" s="18" t="s">
        <v>17</v>
      </c>
      <c r="Z30" s="19" t="s">
        <v>372</v>
      </c>
    </row>
    <row r="31" spans="2:26" ht="16.5" hidden="1" customHeight="1" x14ac:dyDescent="0.2">
      <c r="B31" s="1152"/>
      <c r="C31" s="1153"/>
      <c r="D31" s="1154"/>
      <c r="E31" s="1154"/>
      <c r="F31" s="1154"/>
      <c r="R31" s="18" t="s">
        <v>19</v>
      </c>
      <c r="S31" s="473">
        <f t="shared" ref="S31:S37" si="2">F112</f>
        <v>0</v>
      </c>
      <c r="U31" s="18" t="s">
        <v>19</v>
      </c>
      <c r="V31" s="473">
        <f t="shared" ref="V31:V37" si="3">F122</f>
        <v>0</v>
      </c>
      <c r="W31" s="18" t="s">
        <v>19</v>
      </c>
      <c r="X31" s="26"/>
      <c r="Y31" s="18" t="s">
        <v>19</v>
      </c>
      <c r="Z31" s="26"/>
    </row>
    <row r="32" spans="2:26" ht="49.5" customHeight="1" x14ac:dyDescent="0.2">
      <c r="R32" s="18" t="s">
        <v>20</v>
      </c>
      <c r="S32" s="473">
        <f t="shared" si="2"/>
        <v>0</v>
      </c>
      <c r="U32" s="18" t="s">
        <v>20</v>
      </c>
      <c r="V32" s="473">
        <f t="shared" si="3"/>
        <v>0</v>
      </c>
      <c r="W32" s="18" t="s">
        <v>20</v>
      </c>
      <c r="X32" s="26"/>
      <c r="Y32" s="18" t="s">
        <v>20</v>
      </c>
      <c r="Z32" s="26"/>
    </row>
    <row r="33" spans="2:26" ht="44.25" customHeight="1" x14ac:dyDescent="0.2">
      <c r="B33" s="1164" t="str">
        <f>IF($L$1=2,IF('Set up ~ Config'!$G$32=6,"2e Trimestre
Oct-Nov-Déc","2e Trimestre
 Déc-Jan-Fév"),IF('Set up ~ Config'!$G$32=6,"Quarter 2
Oct-Nov-Dec","Quarter 2
Dec-Jan-Feb"))</f>
        <v>Quarter 2
Dec-Jan-Feb</v>
      </c>
      <c r="C33" s="1165" t="str">
        <f>IF($L$1=2,"Taxes sur les dépenses","Taxes on Expenses")</f>
        <v>Taxes on Expenses</v>
      </c>
      <c r="D33" s="1165" t="str">
        <f>IF($L$1=2,"Taxes remboursées par le Gouv't","Taxes repaid by Gov't")</f>
        <v>Taxes repaid by Gov't</v>
      </c>
      <c r="E33" s="1165" t="str">
        <f>IF($L$1=2,"Taxes nettes payées","Net Taxes Paid")</f>
        <v>Net Taxes Paid</v>
      </c>
      <c r="F33" s="1165" t="str">
        <f>IF($L$1=2,"Taux de la taxe","Tax Rates")</f>
        <v>Tax Rates</v>
      </c>
      <c r="G33" s="1165" t="str">
        <f>IF($L$1=2,"TVH ventilée +TPS+TVP","HST Broken Down=GST+PST")</f>
        <v>HST Broken Down=GST+PST</v>
      </c>
      <c r="R33" s="18" t="s">
        <v>21</v>
      </c>
      <c r="S33" s="473">
        <f t="shared" si="2"/>
        <v>0.08</v>
      </c>
      <c r="U33" s="18" t="s">
        <v>21</v>
      </c>
      <c r="V33" s="473">
        <f t="shared" si="3"/>
        <v>0.82</v>
      </c>
      <c r="W33" s="18" t="s">
        <v>21</v>
      </c>
      <c r="X33" s="19" t="s">
        <v>375</v>
      </c>
      <c r="Y33" s="18" t="s">
        <v>21</v>
      </c>
      <c r="Z33" s="19" t="s">
        <v>372</v>
      </c>
    </row>
    <row r="34" spans="2:26" ht="16.5" hidden="1" customHeight="1" x14ac:dyDescent="0.2">
      <c r="B34" s="1156"/>
      <c r="C34" s="1156"/>
      <c r="D34" s="1166"/>
      <c r="E34" s="1166"/>
      <c r="F34" s="1166"/>
      <c r="G34" s="1166"/>
      <c r="R34" s="18" t="s">
        <v>22</v>
      </c>
      <c r="S34" s="473">
        <f t="shared" si="2"/>
        <v>0.1</v>
      </c>
      <c r="U34" s="18" t="s">
        <v>22</v>
      </c>
      <c r="V34" s="473">
        <f t="shared" si="3"/>
        <v>0.35</v>
      </c>
      <c r="W34" s="18" t="s">
        <v>22</v>
      </c>
      <c r="X34" s="19" t="s">
        <v>376</v>
      </c>
      <c r="Y34" s="18" t="s">
        <v>22</v>
      </c>
      <c r="Z34" s="19" t="s">
        <v>372</v>
      </c>
    </row>
    <row r="35" spans="2:26" ht="19.5" customHeight="1" x14ac:dyDescent="0.2">
      <c r="B35" s="1144" t="str">
        <f>IF($L$1=2,"TVH/Total","HST/Total")</f>
        <v>HST/Total</v>
      </c>
      <c r="C35" s="190">
        <f>SUMIF('Jrnl Exp ~ Dép'!$O$16:$O$515,2,'Jrnl Exp ~ Dép'!$K$16:$K$515)</f>
        <v>0</v>
      </c>
      <c r="D35" s="190">
        <f>SUMIF('Jrnl Rev'!$O$16:$O$140,2,'Jrnl Rev'!$K$16:$K$140)</f>
        <v>0</v>
      </c>
      <c r="E35" s="190">
        <f>C35-D35</f>
        <v>0</v>
      </c>
      <c r="F35" s="1145">
        <f>LOOKUP($V$21,$R$25:$S$37)+0.05</f>
        <v>0.12000000000000001</v>
      </c>
      <c r="G35" s="1146"/>
      <c r="R35" s="18" t="s">
        <v>25</v>
      </c>
      <c r="S35" s="474">
        <f t="shared" si="2"/>
        <v>9.9750000000000005E-2</v>
      </c>
      <c r="U35" s="18" t="s">
        <v>25</v>
      </c>
      <c r="V35" s="473">
        <f t="shared" si="3"/>
        <v>0.5</v>
      </c>
      <c r="W35" s="18" t="s">
        <v>25</v>
      </c>
      <c r="X35" s="26" t="s">
        <v>418</v>
      </c>
      <c r="Y35" s="18" t="s">
        <v>25</v>
      </c>
      <c r="Z35" s="19" t="s">
        <v>417</v>
      </c>
    </row>
    <row r="36" spans="2:26" ht="19.5" hidden="1" customHeight="1" x14ac:dyDescent="0.2">
      <c r="B36" s="1147"/>
      <c r="C36" s="1149"/>
      <c r="D36" s="1149"/>
      <c r="E36" s="1149"/>
      <c r="F36" s="1149"/>
      <c r="G36" s="1149"/>
      <c r="R36" s="18" t="s">
        <v>27</v>
      </c>
      <c r="S36" s="473">
        <f t="shared" si="2"/>
        <v>0.06</v>
      </c>
      <c r="U36" s="18" t="s">
        <v>27</v>
      </c>
      <c r="V36" s="473">
        <f t="shared" si="3"/>
        <v>0</v>
      </c>
      <c r="W36" s="18" t="s">
        <v>27</v>
      </c>
      <c r="X36" s="26"/>
      <c r="Y36" s="18" t="s">
        <v>27</v>
      </c>
      <c r="Z36" s="26"/>
    </row>
    <row r="37" spans="2:26" ht="19.5" customHeight="1" x14ac:dyDescent="0.2">
      <c r="B37" s="1144" t="str">
        <f>IF($L$1=2,"TPS","GST")</f>
        <v>GST</v>
      </c>
      <c r="C37" s="190">
        <f>SUMIF('Jrnl Exp ~ Dép'!$O$16:$O$515,2,'Jrnl Exp ~ Dép'!$L$16:$L$515)</f>
        <v>0</v>
      </c>
      <c r="D37" s="190">
        <f>SUMIF('Jrnl Rev'!$O$16:$O$140,2,'Jrnl Rev'!$L$16:$L$140)</f>
        <v>0</v>
      </c>
      <c r="E37" s="190">
        <f>C37-D37</f>
        <v>0</v>
      </c>
      <c r="F37" s="1145">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2">
      <c r="B38" s="1147"/>
      <c r="C38" s="1149"/>
      <c r="D38" s="1149"/>
      <c r="E38" s="1149"/>
      <c r="F38" s="1150"/>
      <c r="G38" s="1151"/>
      <c r="R38" s="18"/>
      <c r="S38" s="473"/>
      <c r="U38" s="18"/>
      <c r="V38" s="473"/>
      <c r="W38" s="18"/>
      <c r="X38" s="26"/>
      <c r="Y38" s="18"/>
      <c r="Z38" s="26"/>
    </row>
    <row r="39" spans="2:26" ht="19.5" customHeight="1" x14ac:dyDescent="0.2">
      <c r="B39" s="1144" t="str">
        <f>IF($L$1=2,"TVP / TVQ","PST / QST")</f>
        <v>PST / QST</v>
      </c>
      <c r="C39" s="190">
        <f>SUMIF('Jrnl Exp ~ Dép'!$O$16:$O$515,2,'Jrnl Exp ~ Dép'!$M$16:$M$515)</f>
        <v>0</v>
      </c>
      <c r="D39" s="190">
        <f>SUMIF('Jrnl Rev'!$O$16:$O$140,2,'Jrnl Rev'!$M$16:$M$140)</f>
        <v>0</v>
      </c>
      <c r="E39" s="190">
        <f>C39-D39</f>
        <v>0</v>
      </c>
      <c r="F39" s="1145">
        <f>LOOKUP($V$21,$R$25:$S$37)</f>
        <v>7.0000000000000007E-2</v>
      </c>
      <c r="G39" s="190">
        <f>(E35*F39/F35)+E39</f>
        <v>0</v>
      </c>
      <c r="R39" s="18" t="s">
        <v>377</v>
      </c>
      <c r="S39" s="473">
        <f>D112</f>
        <v>0.05</v>
      </c>
      <c r="U39" s="18" t="s">
        <v>377</v>
      </c>
      <c r="V39" s="473">
        <f>D122</f>
        <v>0.5</v>
      </c>
      <c r="W39" s="475" t="s">
        <v>377</v>
      </c>
      <c r="X39" s="26">
        <v>305</v>
      </c>
      <c r="Y39" s="18" t="s">
        <v>377</v>
      </c>
      <c r="Z39" s="26"/>
    </row>
    <row r="40" spans="2:26" ht="14.25" hidden="1" customHeight="1" x14ac:dyDescent="0.2">
      <c r="B40" s="1152"/>
      <c r="C40" s="1153"/>
      <c r="D40" s="1153"/>
      <c r="E40" s="1153"/>
      <c r="F40" s="1153"/>
      <c r="G40" s="1154"/>
    </row>
    <row r="41" spans="2:26" ht="16.5" customHeight="1" x14ac:dyDescent="0.2"/>
    <row r="42" spans="2:26" ht="21.75" customHeight="1" x14ac:dyDescent="0.2">
      <c r="B42" s="1167" t="str">
        <f>IF($L$1=2,"Taxes","Taxes")</f>
        <v>Taxes</v>
      </c>
      <c r="C42" s="1165" t="str">
        <f>IF($L$1=2,"% de remise","% of Rebate")</f>
        <v>% of Rebate</v>
      </c>
      <c r="D42" s="1165" t="str">
        <f>IF($L$1=2,"Formulaires","Forms")</f>
        <v>Forms</v>
      </c>
      <c r="E42" s="1165" t="str">
        <f>IF($L$1=2,"Ligne","Line")</f>
        <v>Line</v>
      </c>
      <c r="F42" s="1165" t="str">
        <f>IF($L$1=2,"Montant réclamé","Claimed Amount")</f>
        <v>Claimed Amount</v>
      </c>
      <c r="U42" s="24" t="s">
        <v>378</v>
      </c>
    </row>
    <row r="43" spans="2:26" ht="4.5" hidden="1" customHeight="1" x14ac:dyDescent="0.2">
      <c r="B43" s="1156"/>
      <c r="C43" s="1156"/>
      <c r="D43" s="1156"/>
      <c r="E43" s="1156"/>
      <c r="F43" s="1156"/>
      <c r="U43" s="472"/>
    </row>
    <row r="44" spans="2:26" ht="19.5" customHeight="1" x14ac:dyDescent="0.2">
      <c r="B44" s="1144" t="str">
        <f>IF($L$1=2,"Fédéral (TPS)","Federal (GST)")</f>
        <v>Federal (GST)</v>
      </c>
      <c r="C44" s="1157">
        <f>$V$39</f>
        <v>0.5</v>
      </c>
      <c r="D44" s="146" t="str">
        <f>IF($V$21="QC","FP-2066","GST66")</f>
        <v>GST66</v>
      </c>
      <c r="E44" s="146">
        <f>$X$39</f>
        <v>305</v>
      </c>
      <c r="F44" s="1158">
        <f>G37*C44</f>
        <v>0</v>
      </c>
      <c r="U44" s="210" t="s">
        <v>379</v>
      </c>
    </row>
    <row r="45" spans="2:26" ht="4.5" hidden="1" customHeight="1" x14ac:dyDescent="0.2">
      <c r="B45" s="1147"/>
      <c r="C45" s="1159"/>
      <c r="D45" s="1159"/>
      <c r="E45" s="1159"/>
      <c r="F45" s="1168"/>
    </row>
    <row r="46" spans="2:26" ht="19.5" customHeight="1" x14ac:dyDescent="0.2">
      <c r="B46" s="1144" t="str">
        <f>IF($L$1=2,"Provincial (TVP / TVQ)","Provincial (PST / QST)")</f>
        <v>Provincial (PST / QST)</v>
      </c>
      <c r="C46" s="1157">
        <f>LOOKUP($V$21,$U$25:$V$37)</f>
        <v>0</v>
      </c>
      <c r="D46" s="146">
        <f>LOOKUP($V$21,$Y$25:$Z$37)</f>
        <v>0</v>
      </c>
      <c r="E46" s="146">
        <f>LOOKUP($V$21,$W$25:$X$37)</f>
        <v>0</v>
      </c>
      <c r="F46" s="1158">
        <f>G39*C46</f>
        <v>0</v>
      </c>
    </row>
    <row r="47" spans="2:26" ht="4.5" hidden="1" customHeight="1" x14ac:dyDescent="0.2">
      <c r="B47" s="1156"/>
      <c r="C47" s="1156"/>
      <c r="D47" s="1156"/>
      <c r="E47" s="1156"/>
      <c r="F47" s="1156"/>
    </row>
    <row r="48" spans="2:26" ht="19.5" customHeight="1" x14ac:dyDescent="0.3">
      <c r="B48" s="1837" t="str">
        <f>IF($L$1=2,"Remise de taxes réclamée","Rebate to be claimed")</f>
        <v>Rebate to be claimed</v>
      </c>
      <c r="C48" s="1837"/>
      <c r="D48" s="1837"/>
      <c r="E48" s="1162" t="str">
        <f>IF(V40="QC","","409")</f>
        <v>409</v>
      </c>
      <c r="F48" s="1163">
        <f>SUM(F44,F46)</f>
        <v>0</v>
      </c>
    </row>
    <row r="49" spans="1:7" ht="4.5" hidden="1" customHeight="1" x14ac:dyDescent="0.2">
      <c r="B49" s="1152"/>
      <c r="C49" s="1153"/>
      <c r="D49" s="1154"/>
      <c r="E49" s="1154"/>
      <c r="F49" s="1154"/>
    </row>
    <row r="50" spans="1:7" s="1169" customFormat="1" ht="50.25" customHeight="1" x14ac:dyDescent="0.35"/>
    <row r="51" spans="1:7" ht="46.5" customHeight="1" x14ac:dyDescent="0.2">
      <c r="B51" s="1170" t="str">
        <f>IF($L$1=2,IF('Set up ~ Config'!$G$32=6,"3e Trimestre
Jan-Fév-Mar","3e Trimestre
 Mar-Avr-Mai"),IF('Set up ~ Config'!$G$32=6,"Quarter 3
Jan-Feb-Mar","Quarter 3
Mar-Apr-May"))</f>
        <v>Quarter 3
Mar-Apr-May</v>
      </c>
      <c r="C51" s="1171" t="str">
        <f>IF($L$1=2,"Taxes sur les dépenses","Taxes on Expenses")</f>
        <v>Taxes on Expenses</v>
      </c>
      <c r="D51" s="1171" t="str">
        <f>IF($L$1=2,"Taxes remboursées par le Gouv't","Taxes repaid by Gov't")</f>
        <v>Taxes repaid by Gov't</v>
      </c>
      <c r="E51" s="1171" t="str">
        <f>IF($L$1=2,"Taxes nettes payées","Net Taxes Paid")</f>
        <v>Net Taxes Paid</v>
      </c>
      <c r="F51" s="1171" t="str">
        <f>IF($L$1=2,"Taux de la taxe","Tax Rates")</f>
        <v>Tax Rates</v>
      </c>
      <c r="G51" s="1171" t="str">
        <f>IF($L$1=2,"TVH ventilée +TPS+TVP","HST Broken Down=GST+PST")</f>
        <v>HST Broken Down=GST+PST</v>
      </c>
    </row>
    <row r="52" spans="1:7" ht="4.5" hidden="1" customHeight="1" x14ac:dyDescent="0.2">
      <c r="B52" s="1156"/>
      <c r="C52" s="1156"/>
      <c r="D52" s="1166"/>
      <c r="E52" s="1166"/>
      <c r="F52" s="1166"/>
      <c r="G52" s="1166"/>
    </row>
    <row r="53" spans="1:7" ht="19.5" customHeight="1" x14ac:dyDescent="0.2">
      <c r="B53" s="1144" t="str">
        <f>IF($L$1=2,"TVH/Total","HST/Total")</f>
        <v>HST/Total</v>
      </c>
      <c r="C53" s="190">
        <f>SUMIF('Jrnl Exp ~ Dép'!$O$16:$O$515,3,'Jrnl Exp ~ Dép'!$K$16:$K$515)</f>
        <v>0</v>
      </c>
      <c r="D53" s="190">
        <f>SUMIF('Jrnl Rev'!$O$16:$O$140,3,'Jrnl Rev'!$K$16:$K$140)</f>
        <v>0</v>
      </c>
      <c r="E53" s="190">
        <f>C53-D53</f>
        <v>0</v>
      </c>
      <c r="F53" s="1145">
        <f>LOOKUP($V$21,$R$25:$S$37)+0.05</f>
        <v>0.12000000000000001</v>
      </c>
      <c r="G53" s="1146"/>
    </row>
    <row r="54" spans="1:7" ht="4.5" hidden="1" customHeight="1" x14ac:dyDescent="0.2">
      <c r="B54" s="1147"/>
      <c r="C54" s="1149"/>
      <c r="D54" s="1149"/>
      <c r="E54" s="1149"/>
      <c r="F54" s="1149"/>
      <c r="G54" s="1149"/>
    </row>
    <row r="55" spans="1:7" ht="19.5" customHeight="1" x14ac:dyDescent="0.2">
      <c r="B55" s="1144" t="str">
        <f>IF($L$1=2,"TPS","GST")</f>
        <v>GST</v>
      </c>
      <c r="C55" s="190">
        <f>SUMIF('Jrnl Exp ~ Dép'!$O$16:$O$515,3,'Jrnl Exp ~ Dép'!$L$16:$L$515)</f>
        <v>0</v>
      </c>
      <c r="D55" s="190">
        <f>SUMIF('Jrnl Rev'!$O$16:$O$140,3,'Jrnl Rev'!$L$16:$L$140)</f>
        <v>0</v>
      </c>
      <c r="E55" s="190">
        <f>C55-D55</f>
        <v>0</v>
      </c>
      <c r="F55" s="1145">
        <f>$S$39</f>
        <v>0.05</v>
      </c>
      <c r="G55" s="190">
        <f>(E53*F55/F53)+E55</f>
        <v>0</v>
      </c>
    </row>
    <row r="56" spans="1:7" ht="4.5" hidden="1" customHeight="1" x14ac:dyDescent="0.2">
      <c r="B56" s="1147"/>
      <c r="C56" s="1149"/>
      <c r="D56" s="1149"/>
      <c r="E56" s="1149"/>
      <c r="F56" s="1150"/>
      <c r="G56" s="1151"/>
    </row>
    <row r="57" spans="1:7" ht="19.5" customHeight="1" x14ac:dyDescent="0.2">
      <c r="B57" s="1144" t="str">
        <f>IF($L$1=2,"TVP / TVQ","PST / QST")</f>
        <v>PST / QST</v>
      </c>
      <c r="C57" s="190">
        <f>SUMIF('Jrnl Exp ~ Dép'!$O$16:$O$515,3,'Jrnl Exp ~ Dép'!$M$16:$M$515)</f>
        <v>0</v>
      </c>
      <c r="D57" s="190">
        <f>SUMIF('Jrnl Rev'!$O$16:$O$140,3,'Jrnl Rev'!$M$16:$M$140)</f>
        <v>0</v>
      </c>
      <c r="E57" s="190">
        <f>C57-D57</f>
        <v>0</v>
      </c>
      <c r="F57" s="1145">
        <f>LOOKUP($V$21,$R$25:$S$37)</f>
        <v>7.0000000000000007E-2</v>
      </c>
      <c r="G57" s="190">
        <f>(E53*F57/F53)+E57</f>
        <v>0</v>
      </c>
    </row>
    <row r="58" spans="1:7" ht="4.5" hidden="1" customHeight="1" x14ac:dyDescent="0.2">
      <c r="B58" s="1152"/>
      <c r="C58" s="1153"/>
      <c r="D58" s="1153"/>
      <c r="E58" s="1153"/>
      <c r="F58" s="1153"/>
      <c r="G58" s="1154"/>
    </row>
    <row r="59" spans="1:7" ht="4.5" customHeight="1" x14ac:dyDescent="0.2"/>
    <row r="60" spans="1:7" ht="21.75" customHeight="1" x14ac:dyDescent="0.2">
      <c r="B60" s="1172" t="str">
        <f>IF($L$1=2,"Taxes","Taxes")</f>
        <v>Taxes</v>
      </c>
      <c r="C60" s="1171" t="str">
        <f>IF($L$1=2,"% de remise","% of Rebate")</f>
        <v>% of Rebate</v>
      </c>
      <c r="D60" s="1171" t="str">
        <f>IF($L$1=2,"Formulaires","Forms")</f>
        <v>Forms</v>
      </c>
      <c r="E60" s="1171" t="str">
        <f>IF($L$1=2,"Ligne","Line")</f>
        <v>Line</v>
      </c>
      <c r="F60" s="1171" t="str">
        <f>IF($L$1=2,"Montant réclamé","Claimed Amount")</f>
        <v>Claimed Amount</v>
      </c>
    </row>
    <row r="61" spans="1:7" ht="4.5" hidden="1" customHeight="1" x14ac:dyDescent="0.2">
      <c r="B61" s="1156"/>
      <c r="C61" s="1156"/>
      <c r="D61" s="1156"/>
      <c r="E61" s="1156"/>
      <c r="F61" s="1156"/>
    </row>
    <row r="62" spans="1:7" ht="19.5" customHeight="1" x14ac:dyDescent="0.2">
      <c r="B62" s="1144" t="str">
        <f>IF($L$1=2,"Fédéral (TPS)","Federal (GST)")</f>
        <v>Federal (GST)</v>
      </c>
      <c r="C62" s="1157">
        <f>$V$39</f>
        <v>0.5</v>
      </c>
      <c r="D62" s="146" t="str">
        <f>IF($V$21="QC","FP-2066","GST66")</f>
        <v>GST66</v>
      </c>
      <c r="E62" s="146">
        <f>$X$39</f>
        <v>305</v>
      </c>
      <c r="F62" s="1158">
        <f>G55*C62</f>
        <v>0</v>
      </c>
    </row>
    <row r="63" spans="1:7" ht="4.5" hidden="1" customHeight="1" x14ac:dyDescent="0.2">
      <c r="A63" t="s">
        <v>380</v>
      </c>
      <c r="B63" s="1147"/>
      <c r="C63" s="1159"/>
      <c r="D63" s="1159"/>
      <c r="E63" s="1159"/>
      <c r="F63" s="1168"/>
    </row>
    <row r="64" spans="1:7" ht="19.5" customHeight="1" x14ac:dyDescent="0.2">
      <c r="B64" s="1144" t="str">
        <f>IF($L$1=2,"Provincial (TVP / TVQ)","Provincial (PST / QST)")</f>
        <v>Provincial (PST / QST)</v>
      </c>
      <c r="C64" s="1157">
        <f>LOOKUP($V$21,$U$25:$V$37)</f>
        <v>0</v>
      </c>
      <c r="D64" s="146">
        <f>LOOKUP($V$21,$Y$25:$Z$37)</f>
        <v>0</v>
      </c>
      <c r="E64" s="146">
        <f>LOOKUP($V$21,$W$25:$X$37)</f>
        <v>0</v>
      </c>
      <c r="F64" s="1158">
        <f>G57*C64</f>
        <v>0</v>
      </c>
    </row>
    <row r="65" spans="1:7" ht="4.5" hidden="1" customHeight="1" x14ac:dyDescent="0.2">
      <c r="B65" s="1156"/>
      <c r="C65" s="1156"/>
      <c r="D65" s="1156"/>
      <c r="E65" s="1156"/>
      <c r="F65" s="1156"/>
    </row>
    <row r="66" spans="1:7" ht="19.5" customHeight="1" x14ac:dyDescent="0.3">
      <c r="B66" s="1837" t="str">
        <f>IF($L$1=2,"Remise de taxes réclamée","Rebate to be claimed")</f>
        <v>Rebate to be claimed</v>
      </c>
      <c r="C66" s="1837"/>
      <c r="D66" s="1837"/>
      <c r="E66" s="1162" t="str">
        <f>IF(V58="QC","","409")</f>
        <v>409</v>
      </c>
      <c r="F66" s="1163">
        <f>SUM(F62,F64)</f>
        <v>0</v>
      </c>
    </row>
    <row r="67" spans="1:7" ht="4.5" hidden="1" customHeight="1" x14ac:dyDescent="0.2">
      <c r="A67" t="s">
        <v>380</v>
      </c>
      <c r="B67" s="1152"/>
      <c r="C67" s="1153"/>
      <c r="D67" s="1154"/>
      <c r="E67" s="1154"/>
      <c r="F67" s="1154"/>
    </row>
    <row r="68" spans="1:7" ht="50.25" customHeight="1" x14ac:dyDescent="0.2"/>
    <row r="69" spans="1:7" ht="46.5" customHeight="1" x14ac:dyDescent="0.2">
      <c r="B69" s="1173" t="str">
        <f>IF($L$1=2,IF('Set up ~ Config'!$G$32=6,"4e Trimestre
Avr-Mai-Juin","4e Trimestre
 Juin-Juil-Août"),IF('Set up ~ Config'!$G$32=6,"Quarter 4
Apr-May-Jun","Quarter 4
Jun-Jul-Aug"))</f>
        <v>Quarter 4
Jun-Jul-Aug</v>
      </c>
      <c r="C69" s="1174" t="str">
        <f>IF($L$1=2,"Taxes sur les dépenses","Taxes on Expenses")</f>
        <v>Taxes on Expenses</v>
      </c>
      <c r="D69" s="1174" t="str">
        <f>IF($L$1=2,"Taxes remboursées par le Gouv't","Taxes repaid by Gov't")</f>
        <v>Taxes repaid by Gov't</v>
      </c>
      <c r="E69" s="1174" t="str">
        <f>IF($L$1=2,"Taxes nettes payées","Net Taxes Paid")</f>
        <v>Net Taxes Paid</v>
      </c>
      <c r="F69" s="1174" t="str">
        <f>IF($L$1=2,"Taux de la taxe","Tax Rates")</f>
        <v>Tax Rates</v>
      </c>
      <c r="G69" s="1174" t="str">
        <f>IF($L$1=2,"TVH ventilée +TPS+TVP","HST Broken Down=GST+PST")</f>
        <v>HST Broken Down=GST+PST</v>
      </c>
    </row>
    <row r="70" spans="1:7" ht="4.5" hidden="1" customHeight="1" x14ac:dyDescent="0.2">
      <c r="B70" s="1156"/>
      <c r="C70" s="1156"/>
      <c r="D70" s="1166"/>
      <c r="E70" s="1166"/>
      <c r="F70" s="1166"/>
      <c r="G70" s="1166"/>
    </row>
    <row r="71" spans="1:7" ht="19.5" customHeight="1" x14ac:dyDescent="0.2">
      <c r="B71" s="1144" t="str">
        <f>IF($L$1=2,"TVH/Total","HST/Total")</f>
        <v>HST/Total</v>
      </c>
      <c r="C71" s="190">
        <f>SUMIF('Jrnl Exp ~ Dép'!$O$16:$O$515,4,'Jrnl Exp ~ Dép'!$K$16:$K$515)</f>
        <v>0</v>
      </c>
      <c r="D71" s="190">
        <f>SUMIF('Jrnl Rev'!$O$16:$O$140,4,'Jrnl Rev'!$K$16:$K$140)</f>
        <v>0</v>
      </c>
      <c r="E71" s="190">
        <f>C71-D71</f>
        <v>0</v>
      </c>
      <c r="F71" s="1145">
        <f>LOOKUP($V$21,$R$25:$S$37)+0.05</f>
        <v>0.12000000000000001</v>
      </c>
      <c r="G71" s="1146"/>
    </row>
    <row r="72" spans="1:7" ht="4.5" hidden="1" customHeight="1" x14ac:dyDescent="0.2">
      <c r="B72" s="1147"/>
      <c r="C72" s="1149"/>
      <c r="D72" s="1149"/>
      <c r="E72" s="1149"/>
      <c r="F72" s="1149"/>
      <c r="G72" s="1149"/>
    </row>
    <row r="73" spans="1:7" ht="19.5" customHeight="1" x14ac:dyDescent="0.2">
      <c r="B73" s="1144" t="str">
        <f>IF($L$1=2,"TPS","GST")</f>
        <v>GST</v>
      </c>
      <c r="C73" s="190">
        <f>SUMIF('Jrnl Exp ~ Dép'!$O$16:$O$515,4,'Jrnl Exp ~ Dép'!$L$16:$L$515)</f>
        <v>0</v>
      </c>
      <c r="D73" s="190">
        <f>SUMIF('Jrnl Rev'!$O$16:$O$140,4,'Jrnl Rev'!$L$16:$L$140)</f>
        <v>0</v>
      </c>
      <c r="E73" s="190">
        <f>C73-D73</f>
        <v>0</v>
      </c>
      <c r="F73" s="1145">
        <f>$S$39</f>
        <v>0.05</v>
      </c>
      <c r="G73" s="190">
        <f>(E71*F73/F71)+E73</f>
        <v>0</v>
      </c>
    </row>
    <row r="74" spans="1:7" ht="4.5" hidden="1" customHeight="1" x14ac:dyDescent="0.2">
      <c r="B74" s="1147"/>
      <c r="C74" s="1149"/>
      <c r="D74" s="1149"/>
      <c r="E74" s="1149"/>
      <c r="F74" s="1150"/>
      <c r="G74" s="1151"/>
    </row>
    <row r="75" spans="1:7" ht="19.5" customHeight="1" x14ac:dyDescent="0.2">
      <c r="B75" s="1144" t="str">
        <f>IF($L$1=2,"TVP / TVQ","PST / QST")</f>
        <v>PST / QST</v>
      </c>
      <c r="C75" s="190">
        <f>SUMIF('Jrnl Exp ~ Dép'!$O$16:$O$515,4,'Jrnl Exp ~ Dép'!$M$16:$M$515)</f>
        <v>0</v>
      </c>
      <c r="D75" s="190">
        <f>SUMIF('Jrnl Rev'!$O$16:$O$140,4,'Jrnl Rev'!$M$16:$M$140)</f>
        <v>0</v>
      </c>
      <c r="E75" s="190">
        <f>C75-D75</f>
        <v>0</v>
      </c>
      <c r="F75" s="1145">
        <f>LOOKUP($V$21,$R$25:$S$37)</f>
        <v>7.0000000000000007E-2</v>
      </c>
      <c r="G75" s="190">
        <f>(E71*F75/F71)+E75</f>
        <v>0</v>
      </c>
    </row>
    <row r="76" spans="1:7" ht="4.5" hidden="1" customHeight="1" x14ac:dyDescent="0.2">
      <c r="B76" s="1152"/>
      <c r="C76" s="1153"/>
      <c r="D76" s="1153"/>
      <c r="E76" s="1153"/>
      <c r="F76" s="1153"/>
      <c r="G76" s="1154"/>
    </row>
    <row r="77" spans="1:7" ht="4.5" customHeight="1" x14ac:dyDescent="0.2"/>
    <row r="78" spans="1:7" ht="21.75" customHeight="1" x14ac:dyDescent="0.2">
      <c r="B78" s="1175" t="str">
        <f>IF($L$1=2,"Taxes","Taxes")</f>
        <v>Taxes</v>
      </c>
      <c r="C78" s="1174" t="str">
        <f>IF($L$1=2,"% de remise","% of Rebate")</f>
        <v>% of Rebate</v>
      </c>
      <c r="D78" s="1174" t="str">
        <f>IF($L$1=2,"Formulaires","Forms")</f>
        <v>Forms</v>
      </c>
      <c r="E78" s="1174" t="str">
        <f>IF($L$1=2,"Ligne","Line")</f>
        <v>Line</v>
      </c>
      <c r="F78" s="1174" t="str">
        <f>IF($L$1=2,"Montant réclamé","Claimed Amount")</f>
        <v>Claimed Amount</v>
      </c>
    </row>
    <row r="79" spans="1:7" ht="4.5" hidden="1" customHeight="1" x14ac:dyDescent="0.2">
      <c r="B79" s="1156"/>
      <c r="C79" s="1156"/>
      <c r="D79" s="1156"/>
      <c r="E79" s="1156"/>
      <c r="F79" s="1156"/>
    </row>
    <row r="80" spans="1:7" ht="19.5" customHeight="1" x14ac:dyDescent="0.2">
      <c r="B80" s="1144" t="str">
        <f>IF($L$1=2,"Fédéral (TPS)","Federal (GST)")</f>
        <v>Federal (GST)</v>
      </c>
      <c r="C80" s="1157">
        <f>$V$39</f>
        <v>0.5</v>
      </c>
      <c r="D80" s="146" t="str">
        <f>IF($V$21="QC","FP-2066","GST66")</f>
        <v>GST66</v>
      </c>
      <c r="E80" s="146">
        <f>$X$39</f>
        <v>305</v>
      </c>
      <c r="F80" s="1158">
        <f>G73*C80</f>
        <v>0</v>
      </c>
    </row>
    <row r="81" spans="2:7" ht="4.5" hidden="1" customHeight="1" x14ac:dyDescent="0.2">
      <c r="B81" s="1147"/>
      <c r="C81" s="1159"/>
      <c r="D81" s="1159"/>
      <c r="E81" s="1159"/>
      <c r="F81" s="1168"/>
    </row>
    <row r="82" spans="2:7" ht="19.5" customHeight="1" x14ac:dyDescent="0.2">
      <c r="B82" s="1144" t="str">
        <f>IF($L$1=2,"Provincial (TVP / TVQ)","Provincial (PST / QST)")</f>
        <v>Provincial (PST / QST)</v>
      </c>
      <c r="C82" s="1157">
        <f>LOOKUP($V$21,$U$25:$V$37)</f>
        <v>0</v>
      </c>
      <c r="D82" s="146">
        <f>LOOKUP($V$21,$Y$25:$Z$37)</f>
        <v>0</v>
      </c>
      <c r="E82" s="146">
        <f>LOOKUP($V$21,$W$25:$X$37)</f>
        <v>0</v>
      </c>
      <c r="F82" s="1158">
        <f>G75*C82</f>
        <v>0</v>
      </c>
    </row>
    <row r="83" spans="2:7" ht="4.5" hidden="1" customHeight="1" x14ac:dyDescent="0.2">
      <c r="B83" s="1156"/>
      <c r="C83" s="1156"/>
      <c r="D83" s="1156"/>
      <c r="E83" s="1156"/>
      <c r="F83" s="1156"/>
    </row>
    <row r="84" spans="2:7" ht="19.5" customHeight="1" x14ac:dyDescent="0.3">
      <c r="B84" s="1837" t="str">
        <f>IF($L$1=2,"Remise de taxes réclamée","Rebate to be claimed")</f>
        <v>Rebate to be claimed</v>
      </c>
      <c r="C84" s="1837"/>
      <c r="D84" s="1837"/>
      <c r="E84" s="1162" t="str">
        <f>IF(V76="QC","","409")</f>
        <v>409</v>
      </c>
      <c r="F84" s="1163">
        <f>SUM(F80,F82)</f>
        <v>0</v>
      </c>
    </row>
    <row r="85" spans="2:7" ht="4.5" hidden="1" customHeight="1" x14ac:dyDescent="0.2">
      <c r="B85" s="1152"/>
      <c r="C85" s="1153"/>
      <c r="D85" s="1154"/>
      <c r="E85" s="1154"/>
      <c r="F85" s="1154"/>
    </row>
    <row r="86" spans="2:7" ht="50.25" customHeight="1" x14ac:dyDescent="0.2"/>
    <row r="87" spans="2:7" ht="46.5" customHeight="1" x14ac:dyDescent="0.2">
      <c r="B87" s="1176" t="str">
        <f>IF(L1=2,"Total pour l'année","Total for the year")</f>
        <v>Total for the year</v>
      </c>
      <c r="C87" s="1177" t="str">
        <f>IF($L$1=2,"Taxes sur les dépenses","Taxes on Expenses")</f>
        <v>Taxes on Expenses</v>
      </c>
      <c r="D87" s="1177" t="str">
        <f>IF($L$1=2,"Taxes remboursées par le Gouv't","Taxes repaid by Gov't")</f>
        <v>Taxes repaid by Gov't</v>
      </c>
      <c r="E87" s="1177" t="str">
        <f>IF($L$1=2,"Taxes nettes payées","Net Taxes Paid")</f>
        <v>Net Taxes Paid</v>
      </c>
      <c r="F87" s="1177" t="str">
        <f>IF($L$1=2,"Taux de la taxe","Tax Rates")</f>
        <v>Tax Rates</v>
      </c>
      <c r="G87" s="1177" t="str">
        <f>IF($L$1=2,"TVH ventilée +TPS+TVP","HST Broken Down=GST+PST")</f>
        <v>HST Broken Down=GST+PST</v>
      </c>
    </row>
    <row r="88" spans="2:7" ht="4.5" hidden="1" customHeight="1" x14ac:dyDescent="0.2">
      <c r="B88" s="1156"/>
      <c r="C88" s="1156"/>
      <c r="D88" s="1166"/>
      <c r="E88" s="1166"/>
      <c r="F88" s="1166"/>
      <c r="G88" s="1166"/>
    </row>
    <row r="89" spans="2:7" ht="19.5" customHeight="1" x14ac:dyDescent="0.2">
      <c r="B89" s="1144" t="str">
        <f>IF($L$1=2,"TVH","HST")</f>
        <v>HST</v>
      </c>
      <c r="C89" s="190">
        <f>'Jrnl Exp ~ Dép'!K516</f>
        <v>0</v>
      </c>
      <c r="D89" s="190">
        <f>'Jrnl Rev'!$K$516</f>
        <v>0</v>
      </c>
      <c r="E89" s="190">
        <f>C89-D89</f>
        <v>0</v>
      </c>
      <c r="F89" s="1145">
        <f>LOOKUP($V$21,$R$25:$S$37)+0.05</f>
        <v>0.12000000000000001</v>
      </c>
      <c r="G89" s="1146"/>
    </row>
    <row r="90" spans="2:7" ht="4.5" hidden="1" customHeight="1" x14ac:dyDescent="0.2">
      <c r="B90" s="1147"/>
      <c r="C90" s="1149"/>
      <c r="D90" s="1149"/>
      <c r="E90" s="1149"/>
      <c r="F90" s="1149"/>
      <c r="G90" s="1149"/>
    </row>
    <row r="91" spans="2:7" ht="19.5" customHeight="1" x14ac:dyDescent="0.2">
      <c r="B91" s="1144" t="str">
        <f>IF($L$1=2,"TPS","GST")</f>
        <v>GST</v>
      </c>
      <c r="C91" s="190">
        <f>'Jrnl Exp ~ Dép'!$L$516</f>
        <v>0</v>
      </c>
      <c r="D91" s="190">
        <f>'Jrnl Rev'!$L$516</f>
        <v>0</v>
      </c>
      <c r="E91" s="190">
        <f>C91-D91</f>
        <v>0</v>
      </c>
      <c r="F91" s="1145">
        <f>$S$39</f>
        <v>0.05</v>
      </c>
      <c r="G91" s="190">
        <f>(E89*F91/F89)+E91</f>
        <v>0</v>
      </c>
    </row>
    <row r="92" spans="2:7" ht="4.5" hidden="1" customHeight="1" x14ac:dyDescent="0.2">
      <c r="B92" s="1147"/>
      <c r="C92" s="1149"/>
      <c r="D92" s="1149"/>
      <c r="E92" s="1149"/>
      <c r="F92" s="1150"/>
      <c r="G92" s="1151"/>
    </row>
    <row r="93" spans="2:7" ht="19.5" customHeight="1" x14ac:dyDescent="0.2">
      <c r="B93" s="1144" t="str">
        <f>IF($L$1=2,"TVP / TVQ","PST / QST")</f>
        <v>PST / QST</v>
      </c>
      <c r="C93" s="190">
        <f>'Jrnl Exp ~ Dép'!$M$516</f>
        <v>0</v>
      </c>
      <c r="D93" s="190">
        <f>'Jrnl Rev'!$M$516</f>
        <v>0</v>
      </c>
      <c r="E93" s="190">
        <f>C93-D93</f>
        <v>0</v>
      </c>
      <c r="F93" s="1145">
        <f>LOOKUP($V$21,$R$25:$S$37)</f>
        <v>7.0000000000000007E-2</v>
      </c>
      <c r="G93" s="190">
        <f>(E89*F93/F89)+E93</f>
        <v>0</v>
      </c>
    </row>
    <row r="94" spans="2:7" ht="4.5" hidden="1" customHeight="1" x14ac:dyDescent="0.2">
      <c r="B94" s="1152"/>
      <c r="C94" s="1153"/>
      <c r="D94" s="1153"/>
      <c r="E94" s="1153"/>
      <c r="F94" s="1153"/>
      <c r="G94" s="1154"/>
    </row>
    <row r="95" spans="2:7" ht="4.5" customHeight="1" x14ac:dyDescent="0.2">
      <c r="G95" s="399"/>
    </row>
    <row r="96" spans="2:7" ht="21.75" customHeight="1" x14ac:dyDescent="0.2">
      <c r="B96" s="1178" t="str">
        <f>IF($L$1=2,"Taxes","Taxes")</f>
        <v>Taxes</v>
      </c>
      <c r="C96" s="1177" t="str">
        <f>IF($L$1=2,"% de remise","% of Rebate")</f>
        <v>% of Rebate</v>
      </c>
      <c r="D96" s="1177" t="str">
        <f>IF($L$1=2,"Formulaires","Forms")</f>
        <v>Forms</v>
      </c>
      <c r="E96" s="1177" t="str">
        <f>IF($L$1=2,"Ligne","Line")</f>
        <v>Line</v>
      </c>
      <c r="F96" s="1177" t="str">
        <f>IF($L$1=2,"Montant réclamé","Claimed Amount")</f>
        <v>Claimed Amount</v>
      </c>
    </row>
    <row r="97" spans="2:10" ht="4.5" hidden="1" customHeight="1" x14ac:dyDescent="0.2">
      <c r="B97" s="1156"/>
      <c r="C97" s="1156"/>
      <c r="D97" s="1156"/>
      <c r="E97" s="1156"/>
      <c r="F97" s="1156"/>
    </row>
    <row r="98" spans="2:10" ht="19.5" customHeight="1" x14ac:dyDescent="0.2">
      <c r="B98" s="1144" t="str">
        <f>IF($L$1=2,"Fédéral (TPS)","Federal (GST)")</f>
        <v>Federal (GST)</v>
      </c>
      <c r="C98" s="1157">
        <f>$V$39</f>
        <v>0.5</v>
      </c>
      <c r="D98" s="146" t="str">
        <f>IF($V$21="QC","FP-2066","GST66")</f>
        <v>GST66</v>
      </c>
      <c r="E98" s="146">
        <f>$X$39</f>
        <v>305</v>
      </c>
      <c r="F98" s="1158">
        <f>G91*C98</f>
        <v>0</v>
      </c>
    </row>
    <row r="99" spans="2:10" ht="4.5" hidden="1" customHeight="1" x14ac:dyDescent="0.2">
      <c r="B99" s="1147"/>
      <c r="C99" s="1159"/>
      <c r="D99" s="1159"/>
      <c r="E99" s="1159"/>
      <c r="F99" s="1168"/>
    </row>
    <row r="100" spans="2:10" ht="19.5" customHeight="1" x14ac:dyDescent="0.2">
      <c r="B100" s="1144" t="str">
        <f>IF($L$1=2,"Provincial (TVP / TVQ)","Provincial (PST / QST)")</f>
        <v>Provincial (PST / QST)</v>
      </c>
      <c r="C100" s="1157">
        <f>LOOKUP($V$21,$U$25:$V$37)</f>
        <v>0</v>
      </c>
      <c r="D100" s="146">
        <f>LOOKUP($V$21,$Y$25:$Z$37)</f>
        <v>0</v>
      </c>
      <c r="E100" s="146">
        <f>LOOKUP($V$21,$W$25:$X$37)</f>
        <v>0</v>
      </c>
      <c r="F100" s="1158">
        <f>G93*C100</f>
        <v>0</v>
      </c>
    </row>
    <row r="101" spans="2:10" ht="4.5" hidden="1" customHeight="1" x14ac:dyDescent="0.2">
      <c r="B101" s="1156"/>
      <c r="C101" s="1156"/>
      <c r="D101" s="1156"/>
      <c r="E101" s="1156"/>
      <c r="F101" s="1156"/>
    </row>
    <row r="102" spans="2:10" ht="19.5" customHeight="1" x14ac:dyDescent="0.3">
      <c r="B102" s="1837" t="str">
        <f>IF($L$1=2,"Remise de taxes totale réclamée","Total Rebate to be claimed")</f>
        <v>Total Rebate to be claimed</v>
      </c>
      <c r="C102" s="1837"/>
      <c r="D102" s="1837"/>
      <c r="E102" s="1162" t="str">
        <f>IF(V94="QC","","409")</f>
        <v>409</v>
      </c>
      <c r="F102" s="1163">
        <f>SUM(F98,F100)</f>
        <v>0</v>
      </c>
      <c r="J102" s="399">
        <f>F30+F48+F66+F84</f>
        <v>0</v>
      </c>
    </row>
    <row r="103" spans="2:10" ht="4.5" hidden="1" customHeight="1" x14ac:dyDescent="0.2">
      <c r="B103" s="1152"/>
      <c r="C103" s="1153"/>
      <c r="D103" s="1154"/>
      <c r="E103" s="1154"/>
      <c r="F103" s="1154"/>
    </row>
    <row r="104" spans="2:10" ht="4.5" customHeight="1" x14ac:dyDescent="0.2"/>
    <row r="105" spans="2:10" ht="1.5" customHeight="1" x14ac:dyDescent="0.2"/>
    <row r="106" spans="2:10" ht="15.75" x14ac:dyDescent="0.2">
      <c r="B106" s="4" t="str">
        <f>IF(L1=2,"TVH =","HST =")</f>
        <v>HST =</v>
      </c>
      <c r="C106" s="1838" t="str">
        <f>IF(L1=2,"Taxe de vente harmonisée","Harmonized Sales Tax")</f>
        <v>Harmonized Sales Tax</v>
      </c>
      <c r="D106" s="1838"/>
      <c r="E106" s="1838"/>
      <c r="F106" s="1838"/>
      <c r="J106" s="1842">
        <f>J102-F102</f>
        <v>0</v>
      </c>
    </row>
    <row r="107" spans="2:10" ht="15.75" x14ac:dyDescent="0.2">
      <c r="B107" s="4" t="str">
        <f>IF(L1=2,"TPS =","GST =")</f>
        <v>GST =</v>
      </c>
      <c r="C107" s="1838" t="str">
        <f>IF(L1=2,"Taxe sur les produits et services","Goods and Services Tax")</f>
        <v>Goods and Services Tax</v>
      </c>
      <c r="D107" s="1838"/>
      <c r="E107" s="1838"/>
      <c r="F107" s="1838"/>
      <c r="J107" s="1842"/>
    </row>
    <row r="108" spans="2:10" ht="15.75" x14ac:dyDescent="0.2">
      <c r="B108" s="4" t="str">
        <f>IF(L1=2,"TVP / TVQ =","PST / QST =")</f>
        <v>PST / QST =</v>
      </c>
      <c r="C108" s="1838" t="str">
        <f>IF(L1=2,"Taxe de vente provinciale / Taxe de vente du Québec","Provincial Sale Tax / Quebec Sales Tax")</f>
        <v>Provincial Sale Tax / Quebec Sales Tax</v>
      </c>
      <c r="D108" s="1838"/>
      <c r="E108" s="1838"/>
      <c r="F108" s="1838"/>
    </row>
    <row r="109" spans="2:10" ht="15.75" x14ac:dyDescent="0.2">
      <c r="B109" s="4" t="str">
        <f>IF(L1=2,"ARC =","CRA =")</f>
        <v>CRA =</v>
      </c>
      <c r="C109" s="1838" t="str">
        <f>IF(L1=2,"Agence du revenu du Canada","Canada Revenue Agency")</f>
        <v>Canada Revenue Agency</v>
      </c>
      <c r="D109" s="1838"/>
      <c r="E109" s="1838"/>
      <c r="F109" s="1838"/>
    </row>
    <row r="111" spans="2:10" ht="15.75" hidden="1" x14ac:dyDescent="0.2">
      <c r="C111" s="1840" t="str">
        <f>IF(L1=2,"Taux de TPS et de TVP par province","GST and PST Rate by Province")</f>
        <v>GST and PST Rate by Province</v>
      </c>
      <c r="D111" s="1840"/>
      <c r="E111" s="1840"/>
      <c r="F111" s="1840"/>
    </row>
    <row r="112" spans="2:10" hidden="1" x14ac:dyDescent="0.2">
      <c r="C112" s="1179" t="s">
        <v>528</v>
      </c>
      <c r="D112" s="1188">
        <f>'Set up ~ Config'!F173</f>
        <v>0.05</v>
      </c>
      <c r="E112" s="1181" t="s">
        <v>19</v>
      </c>
      <c r="F112" s="1187">
        <f>'Set up ~ Config'!H173</f>
        <v>0</v>
      </c>
    </row>
    <row r="113" spans="3:6" hidden="1" x14ac:dyDescent="0.2">
      <c r="C113" s="1183" t="s">
        <v>9</v>
      </c>
      <c r="D113" s="1188">
        <f>'Set up ~ Config'!F174</f>
        <v>0</v>
      </c>
      <c r="E113" s="1184" t="s">
        <v>20</v>
      </c>
      <c r="F113" s="1187">
        <f>'Set up ~ Config'!H174</f>
        <v>0</v>
      </c>
    </row>
    <row r="114" spans="3:6" hidden="1" x14ac:dyDescent="0.2">
      <c r="C114" s="1183" t="s">
        <v>11</v>
      </c>
      <c r="D114" s="1188">
        <f>'Set up ~ Config'!F175</f>
        <v>7.0000000000000007E-2</v>
      </c>
      <c r="E114" s="1184" t="s">
        <v>21</v>
      </c>
      <c r="F114" s="1187">
        <f>'Set up ~ Config'!H175</f>
        <v>0.08</v>
      </c>
    </row>
    <row r="115" spans="3:6" hidden="1" x14ac:dyDescent="0.2">
      <c r="C115" s="1183" t="s">
        <v>13</v>
      </c>
      <c r="D115" s="1188">
        <f>'Set up ~ Config'!F176</f>
        <v>7.0000000000000007E-2</v>
      </c>
      <c r="E115" s="1184" t="s">
        <v>22</v>
      </c>
      <c r="F115" s="1187">
        <f>'Set up ~ Config'!H176</f>
        <v>0.1</v>
      </c>
    </row>
    <row r="116" spans="3:6" hidden="1" x14ac:dyDescent="0.2">
      <c r="C116" s="1183" t="s">
        <v>14</v>
      </c>
      <c r="D116" s="1188">
        <f>'Set up ~ Config'!F177</f>
        <v>0.1</v>
      </c>
      <c r="E116" s="1184" t="s">
        <v>25</v>
      </c>
      <c r="F116" s="1187">
        <f>'Set up ~ Config'!H177</f>
        <v>9.9750000000000005E-2</v>
      </c>
    </row>
    <row r="117" spans="3:6" hidden="1" x14ac:dyDescent="0.2">
      <c r="C117" s="1183" t="s">
        <v>16</v>
      </c>
      <c r="D117" s="1188">
        <f>'Set up ~ Config'!F178</f>
        <v>0.1</v>
      </c>
      <c r="E117" s="1184" t="s">
        <v>27</v>
      </c>
      <c r="F117" s="1187">
        <f>'Set up ~ Config'!H178</f>
        <v>0.06</v>
      </c>
    </row>
    <row r="118" spans="3:6" hidden="1" x14ac:dyDescent="0.2">
      <c r="C118" s="1185" t="s">
        <v>17</v>
      </c>
      <c r="D118" s="1188">
        <f>'Set up ~ Config'!F179</f>
        <v>0.1</v>
      </c>
      <c r="E118" s="1186" t="s">
        <v>28</v>
      </c>
      <c r="F118" s="1187">
        <f>'Set up ~ Config'!H179</f>
        <v>0</v>
      </c>
    </row>
    <row r="119" spans="3:6" ht="26.25" hidden="1" customHeight="1" x14ac:dyDescent="0.2">
      <c r="C119" s="1839" t="str">
        <f>IF(L1=2,U42,U44)</f>
        <v>The Rebate and Tax Level are extracted from the different Website of each province. It is strongly recommended that these informations be verified with the government.</v>
      </c>
      <c r="D119" s="1839"/>
      <c r="E119" s="1839"/>
      <c r="F119" s="1839"/>
    </row>
    <row r="120" spans="3:6" ht="25.5" hidden="1" customHeight="1" x14ac:dyDescent="0.2">
      <c r="C120" s="1839"/>
      <c r="D120" s="1839"/>
      <c r="E120" s="1839"/>
      <c r="F120" s="1839"/>
    </row>
    <row r="121" spans="3:6" ht="15.75" hidden="1" x14ac:dyDescent="0.2">
      <c r="C121" s="1840" t="str">
        <f>IF(L1=2,"% de remise de taxe fédéral et provincial","% of Provincial and Federal Tax Rebate")</f>
        <v>% of Provincial and Federal Tax Rebate</v>
      </c>
      <c r="D121" s="1840"/>
      <c r="E121" s="1840"/>
      <c r="F121" s="1840"/>
    </row>
    <row r="122" spans="3:6" hidden="1" x14ac:dyDescent="0.2">
      <c r="C122" s="1179" t="s">
        <v>528</v>
      </c>
      <c r="D122" s="1180">
        <f>'Set up ~ Config'!F183</f>
        <v>0.5</v>
      </c>
      <c r="E122" s="1181" t="s">
        <v>19</v>
      </c>
      <c r="F122" s="1182">
        <f>'Set up ~ Config'!H183</f>
        <v>0</v>
      </c>
    </row>
    <row r="123" spans="3:6" hidden="1" x14ac:dyDescent="0.2">
      <c r="C123" s="1183" t="s">
        <v>9</v>
      </c>
      <c r="D123" s="1180">
        <f>'Set up ~ Config'!F184</f>
        <v>0</v>
      </c>
      <c r="E123" s="1184" t="s">
        <v>20</v>
      </c>
      <c r="F123" s="1182">
        <f>'Set up ~ Config'!H184</f>
        <v>0</v>
      </c>
    </row>
    <row r="124" spans="3:6" hidden="1" x14ac:dyDescent="0.2">
      <c r="C124" s="1183" t="s">
        <v>11</v>
      </c>
      <c r="D124" s="1180">
        <f>'Set up ~ Config'!F185</f>
        <v>0</v>
      </c>
      <c r="E124" s="1184" t="s">
        <v>21</v>
      </c>
      <c r="F124" s="1182">
        <f>'Set up ~ Config'!H185</f>
        <v>0.82</v>
      </c>
    </row>
    <row r="125" spans="3:6" hidden="1" x14ac:dyDescent="0.2">
      <c r="C125" s="1183" t="s">
        <v>13</v>
      </c>
      <c r="D125" s="1180">
        <f>'Set up ~ Config'!F186</f>
        <v>0</v>
      </c>
      <c r="E125" s="1184" t="s">
        <v>22</v>
      </c>
      <c r="F125" s="1182">
        <f>'Set up ~ Config'!H186</f>
        <v>0.35</v>
      </c>
    </row>
    <row r="126" spans="3:6" hidden="1" x14ac:dyDescent="0.2">
      <c r="C126" s="1183" t="s">
        <v>14</v>
      </c>
      <c r="D126" s="1180">
        <f>'Set up ~ Config'!F187</f>
        <v>0.5</v>
      </c>
      <c r="E126" s="1184" t="s">
        <v>25</v>
      </c>
      <c r="F126" s="1182">
        <f>'Set up ~ Config'!H187</f>
        <v>0.5</v>
      </c>
    </row>
    <row r="127" spans="3:6" hidden="1" x14ac:dyDescent="0.2">
      <c r="C127" s="1183" t="s">
        <v>16</v>
      </c>
      <c r="D127" s="1180">
        <f>'Set up ~ Config'!F188</f>
        <v>0.5</v>
      </c>
      <c r="E127" s="1184" t="s">
        <v>27</v>
      </c>
      <c r="F127" s="1182">
        <f>'Set up ~ Config'!H188</f>
        <v>0</v>
      </c>
    </row>
    <row r="128" spans="3:6" hidden="1" x14ac:dyDescent="0.2">
      <c r="C128" s="1185" t="s">
        <v>17</v>
      </c>
      <c r="D128" s="1180">
        <f>'Set up ~ Config'!F189</f>
        <v>0.5</v>
      </c>
      <c r="E128" s="1186" t="s">
        <v>28</v>
      </c>
      <c r="F128" s="1182">
        <f>'Set up ~ Config'!H189</f>
        <v>0</v>
      </c>
    </row>
    <row r="129" spans="7:7" hidden="1" x14ac:dyDescent="0.2"/>
    <row r="130" spans="7:7" hidden="1" x14ac:dyDescent="0.2"/>
    <row r="131" spans="7:7" x14ac:dyDescent="0.2">
      <c r="G131" s="1841"/>
    </row>
    <row r="132" spans="7:7" x14ac:dyDescent="0.2">
      <c r="G132" s="1841"/>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C119:F120"/>
    <mergeCell ref="C121:F121"/>
    <mergeCell ref="G131:G132"/>
    <mergeCell ref="J106:J107"/>
    <mergeCell ref="C107:F107"/>
    <mergeCell ref="C108:F108"/>
    <mergeCell ref="C109:F109"/>
    <mergeCell ref="C111:F111"/>
    <mergeCell ref="B48:D48"/>
    <mergeCell ref="B66:D66"/>
    <mergeCell ref="B84:D84"/>
    <mergeCell ref="B102:D102"/>
    <mergeCell ref="C106:F106"/>
    <mergeCell ref="B11:G11"/>
    <mergeCell ref="B12:G12"/>
    <mergeCell ref="R24:S24"/>
    <mergeCell ref="U24:V24"/>
    <mergeCell ref="B30:D30"/>
    <mergeCell ref="B3:G3"/>
    <mergeCell ref="B4:G4"/>
    <mergeCell ref="B5:G5"/>
    <mergeCell ref="B7:G7"/>
    <mergeCell ref="B9:G9"/>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defaultColWidth="11.42578125" defaultRowHeight="12.75" x14ac:dyDescent="0.2"/>
  <cols>
    <col min="1" max="1" width="5.5703125" style="1" customWidth="1"/>
    <col min="2" max="2" width="4.7109375" style="26" hidden="1" customWidth="1"/>
    <col min="3" max="3" width="14" style="26" customWidth="1"/>
    <col min="4" max="4" width="37" style="26" customWidth="1"/>
    <col min="5" max="5" width="19.140625" style="1" customWidth="1"/>
    <col min="6" max="6" width="21.140625" style="1" customWidth="1"/>
    <col min="7" max="7" width="13.42578125" style="1" customWidth="1"/>
    <col min="8" max="8" width="23.7109375" style="26" customWidth="1"/>
    <col min="9" max="9" width="11.85546875" style="26" hidden="1" customWidth="1"/>
    <col min="10" max="10" width="5.42578125" style="1" hidden="1" customWidth="1"/>
    <col min="11" max="11" width="10.28515625" style="2" hidden="1" customWidth="1"/>
    <col min="12" max="12" width="5.140625" style="1" hidden="1" customWidth="1"/>
    <col min="13" max="13" width="5" style="1" hidden="1" customWidth="1"/>
    <col min="14" max="14" width="4.42578125" style="1" hidden="1" customWidth="1"/>
    <col min="15" max="15" width="5.85546875" style="860" hidden="1" customWidth="1"/>
    <col min="16" max="16" width="9.42578125" style="1" customWidth="1"/>
    <col min="17" max="17" width="7.5703125" style="1" customWidth="1"/>
    <col min="18" max="19" width="9.140625" style="1" customWidth="1"/>
    <col min="20" max="20" width="11.42578125" style="1"/>
    <col min="21" max="21" width="9.7109375" style="1" hidden="1" customWidth="1"/>
    <col min="22" max="24" width="9.140625" style="1" hidden="1" customWidth="1"/>
    <col min="25" max="25" width="15.42578125" style="1" hidden="1" customWidth="1"/>
    <col min="26" max="26" width="42.42578125" style="1" hidden="1" customWidth="1"/>
    <col min="27" max="27" width="9.140625" style="1" hidden="1" customWidth="1"/>
    <col min="28" max="263" width="9.140625" style="1" customWidth="1"/>
    <col min="264" max="1024" width="11.42578125" style="1"/>
  </cols>
  <sheetData>
    <row r="1" spans="2:26" ht="33.75" customHeight="1" x14ac:dyDescent="0.4">
      <c r="B1" s="1856" t="str">
        <f>IF(M1=2,"Données à reporter dans la prochaine année","Data to be reported in the Next Year")</f>
        <v>Data to be reported in the Next Year</v>
      </c>
      <c r="C1" s="1856"/>
      <c r="D1" s="1856"/>
      <c r="E1" s="1856"/>
      <c r="F1" s="1856"/>
      <c r="G1" s="1856"/>
      <c r="H1" s="1856"/>
      <c r="I1" s="779"/>
      <c r="M1" s="780">
        <f>'Set up ~ Config'!L10</f>
        <v>1</v>
      </c>
      <c r="N1" s="780"/>
      <c r="P1" s="21">
        <v>1</v>
      </c>
    </row>
    <row r="2" spans="2:26" ht="33.75" customHeight="1" x14ac:dyDescent="0.2">
      <c r="B2" s="872"/>
      <c r="C2" s="1593" t="str">
        <f>'Set up ~ Config'!B2</f>
        <v xml:space="preserve">SSC </v>
      </c>
      <c r="D2" s="1593"/>
      <c r="E2" s="1593"/>
      <c r="F2" s="1593"/>
      <c r="G2" s="1593"/>
      <c r="H2" s="1593"/>
      <c r="I2" s="779"/>
    </row>
    <row r="3" spans="2:26" s="2" customFormat="1" ht="46.5" customHeight="1" x14ac:dyDescent="0.2">
      <c r="B3" s="1862" t="str">
        <f>IF(M1=2,K11,K7)</f>
        <v>Print out and transfer this information in the ACC9 'Set up' tab for the FY 2025 - 2026</v>
      </c>
      <c r="C3" s="1863"/>
      <c r="D3" s="1863"/>
      <c r="E3" s="1863"/>
      <c r="F3" s="1863"/>
      <c r="G3" s="1863"/>
      <c r="H3" s="1863"/>
      <c r="I3" s="781"/>
      <c r="J3" s="782"/>
      <c r="L3" s="783"/>
      <c r="O3" s="873"/>
      <c r="P3" s="1190"/>
      <c r="T3" s="20"/>
      <c r="V3" s="784">
        <f>M1</f>
        <v>1</v>
      </c>
      <c r="W3" s="785">
        <f>O3</f>
        <v>0</v>
      </c>
    </row>
    <row r="4" spans="2:26" s="2" customFormat="1" ht="39.75" customHeight="1" x14ac:dyDescent="0.2">
      <c r="B4" s="1857" t="str">
        <f>IF($M$1=2,IF(J78="True","Votre rapport balance et est prêt pour l’impression","Votre rapport ne balance pas"),IF(J78="True","Your report is balanced and ready to be printed","Your report is not balanced"))</f>
        <v>Your report is balanced and ready to be printed</v>
      </c>
      <c r="C4" s="1858"/>
      <c r="D4" s="1858"/>
      <c r="E4" s="1858"/>
      <c r="F4" s="1858"/>
      <c r="G4" s="1858"/>
      <c r="H4" s="1858"/>
      <c r="I4" s="651"/>
      <c r="J4" s="782"/>
      <c r="L4" s="783"/>
      <c r="M4" s="780"/>
      <c r="N4" s="780"/>
      <c r="O4" s="873"/>
      <c r="P4" s="783"/>
      <c r="T4" s="20"/>
      <c r="V4" s="784"/>
      <c r="W4" s="785"/>
    </row>
    <row r="5" spans="2:26" s="786" customFormat="1" ht="11.25" customHeight="1" thickBot="1" x14ac:dyDescent="0.25">
      <c r="B5" s="787"/>
      <c r="C5" s="787"/>
      <c r="D5" s="787"/>
      <c r="E5" s="787"/>
      <c r="F5" s="787"/>
      <c r="H5" s="788"/>
      <c r="I5" s="788"/>
      <c r="J5" s="789"/>
      <c r="L5" s="790"/>
      <c r="M5" s="791"/>
      <c r="N5" s="791"/>
      <c r="O5" s="874"/>
      <c r="P5" s="790"/>
      <c r="T5" s="792"/>
      <c r="V5" s="793"/>
      <c r="W5" s="794"/>
    </row>
    <row r="6" spans="2:26" s="786" customFormat="1" ht="25.5" customHeight="1" thickTop="1" thickBot="1" x14ac:dyDescent="0.25">
      <c r="B6" s="910" t="str">
        <f>'Set up ~ Config'!B41</f>
        <v>E-2 - Last Year's ACC9 Information (Informations on accounts)</v>
      </c>
      <c r="C6" s="1859" t="str">
        <f>'Set up ~ Config'!B41</f>
        <v>E-2 - Last Year's ACC9 Information (Informations on accounts)</v>
      </c>
      <c r="D6" s="1860"/>
      <c r="E6" s="1860"/>
      <c r="F6" s="1860"/>
      <c r="G6" s="1860"/>
      <c r="H6" s="1861"/>
      <c r="I6" s="788"/>
      <c r="J6" s="789"/>
      <c r="L6" s="790"/>
      <c r="M6" s="791"/>
      <c r="N6" s="791"/>
      <c r="O6" s="874"/>
      <c r="P6" s="790"/>
      <c r="T6" s="792"/>
      <c r="V6" s="793"/>
      <c r="W6" s="794"/>
    </row>
    <row r="7" spans="2:26" ht="18" customHeight="1" thickTop="1" x14ac:dyDescent="0.2">
      <c r="B7" s="1358" t="str">
        <f>'ACC9 (Page 7-8) Bal Sh~Bilan'!C7</f>
        <v>1000 - Current Assets:</v>
      </c>
      <c r="C7" s="1451"/>
      <c r="D7" s="1855"/>
      <c r="E7" s="1451"/>
      <c r="F7" s="900"/>
      <c r="J7" s="7"/>
      <c r="K7" s="1189" t="str">
        <f>CONCATENATE("Print out and transfer this information in the ACC9 'Set up' tab for the FY ",'Set up ~ Config'!G31," - ",'Set up ~ Config'!G31+1)</f>
        <v>Print out and transfer this information in the ACC9 'Set up' tab for the FY 2025 - 2026</v>
      </c>
    </row>
    <row r="8" spans="2:26" ht="8.25" customHeight="1" x14ac:dyDescent="0.2">
      <c r="B8" s="894"/>
      <c r="C8" s="1407"/>
      <c r="D8" s="1843"/>
      <c r="E8" s="1407"/>
      <c r="F8" s="796"/>
      <c r="J8" s="7"/>
      <c r="K8" s="1189"/>
    </row>
    <row r="9" spans="2:26" ht="18" customHeight="1" x14ac:dyDescent="0.2">
      <c r="B9" s="1407" t="str">
        <f>CONCATENATE('ACC9 (Page 7-8) Bal Sh~Bilan'!$E8," - ",'ACC9 (Page 7-8) Bal Sh~Bilan'!$F8)</f>
        <v>1010 - Other Cash in hand</v>
      </c>
      <c r="C9" s="1407"/>
      <c r="D9" s="1843"/>
      <c r="E9" s="1408"/>
      <c r="F9" s="797">
        <f>'ACC9 (Page 7-8) Bal Sh~Bilan'!$M8</f>
        <v>0</v>
      </c>
      <c r="J9" s="7"/>
      <c r="K9" s="1189"/>
    </row>
    <row r="10" spans="2:26" ht="18" x14ac:dyDescent="0.2">
      <c r="B10" s="1407" t="str">
        <f>CONCATENATE('ACC9 (Page 7-8) Bal Sh~Bilan'!$E9," - ",'ACC9 (Page 7-8) Bal Sh~Bilan'!$F9)</f>
        <v>1015 - Main Bank Account</v>
      </c>
      <c r="C10" s="1407"/>
      <c r="D10" s="1843"/>
      <c r="E10" s="1408"/>
      <c r="F10" s="797">
        <f>'ACC9 (Page 7-8) Bal Sh~Bilan'!$M9</f>
        <v>0</v>
      </c>
      <c r="J10" s="7"/>
      <c r="K10" s="1189"/>
    </row>
    <row r="11" spans="2:26" ht="18" customHeight="1" x14ac:dyDescent="0.2">
      <c r="B11" s="1407" t="str">
        <f>CONCATENATE('ACC9 (Page 7-8) Bal Sh~Bilan'!$E10," - ",'ACC9 (Page 7-8) Bal Sh~Bilan'!$F10)</f>
        <v>1020 - Canteen</v>
      </c>
      <c r="C11" s="1407"/>
      <c r="D11" s="1843"/>
      <c r="E11" s="1408"/>
      <c r="F11" s="797">
        <f>'ACC9 (Page 7-8) Bal Sh~Bilan'!$M10</f>
        <v>0</v>
      </c>
      <c r="J11" s="7"/>
      <c r="K11" s="1189" t="str">
        <f>CONCATENATE("Imprimez ces renseignements et remplissez l'onglet 'Configuration' dans l'ACC9 pour l`année ",'Set up ~ Config'!G31," - ",'Set up ~ Config'!G31+1)</f>
        <v>Imprimez ces renseignements et remplissez l'onglet 'Configuration' dans l'ACC9 pour l`année 2025 - 2026</v>
      </c>
      <c r="Y11" s="1" t="s">
        <v>381</v>
      </c>
      <c r="Z11" s="25" t="s">
        <v>382</v>
      </c>
    </row>
    <row r="12" spans="2:26" ht="18" customHeight="1" x14ac:dyDescent="0.2">
      <c r="B12" s="1407" t="str">
        <f>CONCATENATE('ACC9 (Page 7-8) Bal Sh~Bilan'!$E11," - ",'ACC9 (Page 7-8) Bal Sh~Bilan'!$F11)</f>
        <v>1025 - Petty Cash</v>
      </c>
      <c r="C12" s="1407"/>
      <c r="D12" s="1843"/>
      <c r="E12" s="1408"/>
      <c r="F12" s="797">
        <f>'ACC9 (Page 7-8) Bal Sh~Bilan'!$M11</f>
        <v>0</v>
      </c>
      <c r="Y12" s="1" t="s">
        <v>383</v>
      </c>
      <c r="Z12" s="20" t="s">
        <v>384</v>
      </c>
    </row>
    <row r="13" spans="2:26" ht="18" x14ac:dyDescent="0.2">
      <c r="B13" s="1407" t="str">
        <f>CONCATENATE('ACC9 (Page 7-8) Bal Sh~Bilan'!$E12," - ",'ACC9 (Page 7-8) Bal Sh~Bilan'!$F12)</f>
        <v>1030 - Receivables - Short Term</v>
      </c>
      <c r="C13" s="1407"/>
      <c r="D13" s="1843"/>
      <c r="E13" s="1408"/>
      <c r="F13" s="797">
        <f>'ACC9 (Page 7-8) Bal Sh~Bilan'!$M12</f>
        <v>0</v>
      </c>
      <c r="Y13" s="1" t="s">
        <v>385</v>
      </c>
      <c r="Z13" s="12" t="s">
        <v>386</v>
      </c>
    </row>
    <row r="14" spans="2:26" ht="18" x14ac:dyDescent="0.2">
      <c r="B14" s="1407" t="str">
        <f>CONCATENATE('ACC9 (Page 7-8) Bal Sh~Bilan'!$E13," - ",'ACC9 (Page 7-8) Bal Sh~Bilan'!$F13)</f>
        <v>1035 - Available</v>
      </c>
      <c r="C14" s="1358"/>
      <c r="D14" s="1844"/>
      <c r="E14" s="1359"/>
      <c r="F14" s="797">
        <f>'ACC9 (Page 7-8) Bal Sh~Bilan'!$M13</f>
        <v>0</v>
      </c>
      <c r="T14" s="12"/>
      <c r="Y14" s="1" t="s">
        <v>387</v>
      </c>
      <c r="Z14" s="1" t="s">
        <v>388</v>
      </c>
    </row>
    <row r="15" spans="2:26" ht="18" customHeight="1" x14ac:dyDescent="0.2">
      <c r="B15" s="1407" t="str">
        <f>CONCATENATE('ACC9 (Page 7-8) Bal Sh~Bilan'!$E14," - ",'ACC9 (Page 7-8) Bal Sh~Bilan'!$F14)</f>
        <v>1040 - Available</v>
      </c>
      <c r="C15" s="1407"/>
      <c r="D15" s="1843"/>
      <c r="E15" s="1408"/>
      <c r="F15" s="797">
        <f>'ACC9 (Page 7-8) Bal Sh~Bilan'!$M14</f>
        <v>0</v>
      </c>
      <c r="Y15" s="12" t="s">
        <v>389</v>
      </c>
      <c r="Z15" s="20" t="s">
        <v>390</v>
      </c>
    </row>
    <row r="16" spans="2:26" ht="18" customHeight="1" x14ac:dyDescent="0.2">
      <c r="B16" s="1407" t="str">
        <f>CONCATENATE('ACC9 (Page 7-8) Bal Sh~Bilan'!$E15," - ",'ACC9 (Page 7-8) Bal Sh~Bilan'!$F15)</f>
        <v>1045 - Available</v>
      </c>
      <c r="C16" s="1407"/>
      <c r="D16" s="1843"/>
      <c r="E16" s="1408"/>
      <c r="F16" s="797">
        <f>'ACC9 (Page 7-8) Bal Sh~Bilan'!$M15</f>
        <v>0</v>
      </c>
      <c r="Y16" s="12" t="s">
        <v>391</v>
      </c>
      <c r="Z16" s="20" t="s">
        <v>392</v>
      </c>
    </row>
    <row r="17" spans="2:26" ht="18" customHeight="1" x14ac:dyDescent="0.2">
      <c r="B17" s="1407" t="str">
        <f>CONCATENATE('ACC9 (Page 7-8) Bal Sh~Bilan'!$E16," - ",'ACC9 (Page 7-8) Bal Sh~Bilan'!$F16)</f>
        <v>1050 - Available</v>
      </c>
      <c r="C17" s="1407"/>
      <c r="D17" s="1843"/>
      <c r="E17" s="1408"/>
      <c r="F17" s="797">
        <f>'ACC9 (Page 7-8) Bal Sh~Bilan'!$M16</f>
        <v>0</v>
      </c>
      <c r="Y17" s="12"/>
      <c r="Z17" s="20"/>
    </row>
    <row r="18" spans="2:26" ht="18" customHeight="1" x14ac:dyDescent="0.2">
      <c r="B18" s="1407" t="str">
        <f>CONCATENATE('ACC9 (Page 7-8) Bal Sh~Bilan'!$E17," - ",'ACC9 (Page 7-8) Bal Sh~Bilan'!$F17)</f>
        <v>1055 - Available</v>
      </c>
      <c r="C18" s="1407"/>
      <c r="D18" s="1843"/>
      <c r="E18" s="1408"/>
      <c r="F18" s="797">
        <f>'ACC9 (Page 7-8) Bal Sh~Bilan'!$M17</f>
        <v>0</v>
      </c>
      <c r="Y18" s="12"/>
      <c r="Z18" s="20"/>
    </row>
    <row r="19" spans="2:26" ht="18" customHeight="1" x14ac:dyDescent="0.2">
      <c r="B19" s="1407" t="str">
        <f>CONCATENATE('ACC9 (Page 7-8) Bal Sh~Bilan'!$E18," - ",'ACC9 (Page 7-8) Bal Sh~Bilan'!$F18)</f>
        <v>1060 - Available</v>
      </c>
      <c r="C19" s="1407"/>
      <c r="D19" s="1843"/>
      <c r="E19" s="1408"/>
      <c r="F19" s="797">
        <f>'ACC9 (Page 7-8) Bal Sh~Bilan'!$M18</f>
        <v>0</v>
      </c>
      <c r="Y19" s="12"/>
      <c r="Z19" s="20"/>
    </row>
    <row r="20" spans="2:26" ht="18" customHeight="1" x14ac:dyDescent="0.2">
      <c r="B20" s="1407" t="str">
        <f>CONCATENATE('ACC9 (Page 7-8) Bal Sh~Bilan'!$E19," - ",'ACC9 (Page 7-8) Bal Sh~Bilan'!$F19)</f>
        <v>1065 - Available</v>
      </c>
      <c r="C20" s="1407"/>
      <c r="D20" s="1843"/>
      <c r="E20" s="1408"/>
      <c r="F20" s="797">
        <f>'ACC9 (Page 7-8) Bal Sh~Bilan'!$M19</f>
        <v>0</v>
      </c>
      <c r="Y20" s="12"/>
      <c r="Z20" s="20"/>
    </row>
    <row r="21" spans="2:26" ht="18" customHeight="1" x14ac:dyDescent="0.2">
      <c r="B21" s="1407" t="str">
        <f>CONCATENATE('ACC9 (Page 7-8) Bal Sh~Bilan'!$E20," - ",'ACC9 (Page 7-8) Bal Sh~Bilan'!$F20)</f>
        <v>1070 - Available</v>
      </c>
      <c r="C21" s="1407"/>
      <c r="D21" s="1843"/>
      <c r="E21" s="1408"/>
      <c r="F21" s="797">
        <f>'ACC9 (Page 7-8) Bal Sh~Bilan'!$M20</f>
        <v>0</v>
      </c>
      <c r="Y21" s="12"/>
      <c r="Z21" s="20"/>
    </row>
    <row r="22" spans="2:26" ht="18" customHeight="1" x14ac:dyDescent="0.2">
      <c r="B22" s="1407" t="str">
        <f>CONCATENATE('ACC9 (Page 7-8) Bal Sh~Bilan'!$E21," - ",'ACC9 (Page 7-8) Bal Sh~Bilan'!$F21)</f>
        <v>1075 - Available</v>
      </c>
      <c r="C22" s="1407"/>
      <c r="D22" s="1843"/>
      <c r="E22" s="1408"/>
      <c r="F22" s="797">
        <f>'ACC9 (Page 7-8) Bal Sh~Bilan'!$M21</f>
        <v>0</v>
      </c>
      <c r="Y22" s="12"/>
      <c r="Z22" s="20"/>
    </row>
    <row r="23" spans="2:26" ht="18" customHeight="1" x14ac:dyDescent="0.2">
      <c r="B23" s="1407" t="str">
        <f>CONCATENATE('ACC9 (Page 7-8) Bal Sh~Bilan'!$E22," - ",'ACC9 (Page 7-8) Bal Sh~Bilan'!$F22)</f>
        <v>1080 - Available</v>
      </c>
      <c r="C23" s="1407"/>
      <c r="D23" s="1843"/>
      <c r="E23" s="1408"/>
      <c r="F23" s="797">
        <f>'ACC9 (Page 7-8) Bal Sh~Bilan'!$M22</f>
        <v>0</v>
      </c>
      <c r="Y23" s="12"/>
      <c r="Z23" s="20"/>
    </row>
    <row r="24" spans="2:26" ht="18" customHeight="1" x14ac:dyDescent="0.2">
      <c r="B24" s="1407" t="str">
        <f>CONCATENATE('ACC9 (Page 7-8) Bal Sh~Bilan'!$E23," - ",'ACC9 (Page 7-8) Bal Sh~Bilan'!$F23)</f>
        <v>1085 - Available</v>
      </c>
      <c r="C24" s="1407"/>
      <c r="D24" s="1843"/>
      <c r="E24" s="1408"/>
      <c r="F24" s="797">
        <f>'ACC9 (Page 7-8) Bal Sh~Bilan'!$M23</f>
        <v>0</v>
      </c>
      <c r="Y24" s="12"/>
      <c r="Z24" s="20"/>
    </row>
    <row r="25" spans="2:26" ht="18" customHeight="1" x14ac:dyDescent="0.2">
      <c r="B25" s="1407" t="str">
        <f>CONCATENATE('ACC9 (Page 7-8) Bal Sh~Bilan'!$E24," - ",'ACC9 (Page 7-8) Bal Sh~Bilan'!$F24)</f>
        <v>1090 - Available</v>
      </c>
      <c r="C25" s="1407"/>
      <c r="D25" s="1843"/>
      <c r="E25" s="1408"/>
      <c r="F25" s="797">
        <f>'ACC9 (Page 7-8) Bal Sh~Bilan'!$M24</f>
        <v>0</v>
      </c>
      <c r="Y25" s="12"/>
      <c r="Z25" s="20"/>
    </row>
    <row r="26" spans="2:26" ht="18" x14ac:dyDescent="0.2">
      <c r="B26" s="1407" t="str">
        <f>CONCATENATE('ACC9 (Page 7-8) Bal Sh~Bilan'!$E25," - ",'ACC9 (Page 7-8) Bal Sh~Bilan'!$F25)</f>
        <v>1095 - Available</v>
      </c>
      <c r="C26" s="1407"/>
      <c r="D26" s="1843"/>
      <c r="E26" s="1408"/>
      <c r="F26" s="797">
        <f>'ACC9 (Page 7-8) Bal Sh~Bilan'!$M25</f>
        <v>0</v>
      </c>
      <c r="Y26" s="12" t="s">
        <v>393</v>
      </c>
      <c r="Z26" s="12" t="s">
        <v>394</v>
      </c>
    </row>
    <row r="27" spans="2:26" ht="8.25" customHeight="1" x14ac:dyDescent="0.2">
      <c r="B27" s="894"/>
      <c r="C27" s="1407"/>
      <c r="D27" s="1843"/>
      <c r="E27" s="1407"/>
      <c r="F27" s="798"/>
      <c r="Y27" s="12"/>
      <c r="Z27" s="12"/>
    </row>
    <row r="28" spans="2:26" ht="18" x14ac:dyDescent="0.2">
      <c r="B28" s="1358" t="str">
        <f>'ACC9 (Page 7-8) Bal Sh~Bilan'!C27</f>
        <v>1200 - Long-Term Assets:</v>
      </c>
      <c r="C28" s="1451"/>
      <c r="D28" s="1855"/>
      <c r="E28" s="1451"/>
      <c r="F28" s="795"/>
      <c r="Y28" s="12" t="s">
        <v>395</v>
      </c>
      <c r="Z28" s="1" t="s">
        <v>396</v>
      </c>
    </row>
    <row r="29" spans="2:26" ht="8.25" customHeight="1" x14ac:dyDescent="0.2">
      <c r="B29" s="894"/>
      <c r="C29" s="1407"/>
      <c r="D29" s="1843"/>
      <c r="E29" s="1407"/>
      <c r="F29" s="796"/>
      <c r="Y29" s="12"/>
    </row>
    <row r="30" spans="2:26" ht="18" x14ac:dyDescent="0.2">
      <c r="B30" s="1407" t="str">
        <f>CONCATENATE('ACC9 (Page 7-8) Bal Sh~Bilan'!$E28," - ",'ACC9 (Page 7-8) Bal Sh~Bilan'!$F28)</f>
        <v>1210 - Investments GICs</v>
      </c>
      <c r="C30" s="1407"/>
      <c r="D30" s="1843"/>
      <c r="E30" s="1408"/>
      <c r="F30" s="797">
        <f>'ACC9 (Page 7-8) Bal Sh~Bilan'!M28</f>
        <v>0</v>
      </c>
      <c r="Y30" s="12"/>
    </row>
    <row r="31" spans="2:26" ht="18" x14ac:dyDescent="0.2">
      <c r="B31" s="1407" t="str">
        <f>CONCATENATE('ACC9 (Page 7-8) Bal Sh~Bilan'!$E29," - ",'ACC9 (Page 7-8) Bal Sh~Bilan'!$F29)</f>
        <v>1220 - Investments (Mutual Funds and such)</v>
      </c>
      <c r="C31" s="1407"/>
      <c r="D31" s="1843"/>
      <c r="E31" s="1408"/>
      <c r="F31" s="797">
        <f>'ACC9 (Page 7-8) Bal Sh~Bilan'!M29</f>
        <v>0</v>
      </c>
      <c r="Y31" s="12"/>
    </row>
    <row r="32" spans="2:26" ht="18" x14ac:dyDescent="0.2">
      <c r="B32" s="1407" t="str">
        <f>CONCATENATE('ACC9 (Page 7-8) Bal Sh~Bilan'!$E30," - ",'ACC9 (Page 7-8) Bal Sh~Bilan'!$F30)</f>
        <v>1230 - Available</v>
      </c>
      <c r="C32" s="1407"/>
      <c r="D32" s="1843"/>
      <c r="E32" s="1408"/>
      <c r="F32" s="797">
        <f>'ACC9 (Page 7-8) Bal Sh~Bilan'!M30</f>
        <v>0</v>
      </c>
      <c r="Y32" s="12"/>
    </row>
    <row r="33" spans="2:25" ht="18" x14ac:dyDescent="0.2">
      <c r="B33" s="1407" t="str">
        <f>CONCATENATE('ACC9 (Page 7-8) Bal Sh~Bilan'!$E31," - ",'ACC9 (Page 7-8) Bal Sh~Bilan'!$F31)</f>
        <v>1240 - Available</v>
      </c>
      <c r="C33" s="1407"/>
      <c r="D33" s="1843"/>
      <c r="E33" s="1408"/>
      <c r="F33" s="797">
        <f>'ACC9 (Page 7-8) Bal Sh~Bilan'!M31</f>
        <v>0</v>
      </c>
      <c r="Y33" s="12"/>
    </row>
    <row r="34" spans="2:25" ht="18" x14ac:dyDescent="0.2">
      <c r="B34" s="1407" t="str">
        <f>CONCATENATE('ACC9 (Page 7-8) Bal Sh~Bilan'!$E32," - ",'ACC9 (Page 7-8) Bal Sh~Bilan'!$F32)</f>
        <v>1250 - Available</v>
      </c>
      <c r="C34" s="1407"/>
      <c r="D34" s="1843"/>
      <c r="E34" s="1408"/>
      <c r="F34" s="797">
        <f>'ACC9 (Page 7-8) Bal Sh~Bilan'!M32</f>
        <v>0</v>
      </c>
      <c r="Y34" s="12"/>
    </row>
    <row r="35" spans="2:25" ht="18" x14ac:dyDescent="0.2">
      <c r="B35" s="1407" t="str">
        <f>CONCATENATE('ACC9 (Page 7-8) Bal Sh~Bilan'!$E33," - ",'ACC9 (Page 7-8) Bal Sh~Bilan'!$F33)</f>
        <v>1260 - Available</v>
      </c>
      <c r="C35" s="1407"/>
      <c r="D35" s="1843"/>
      <c r="E35" s="1408"/>
      <c r="F35" s="797">
        <f>'ACC9 (Page 7-8) Bal Sh~Bilan'!M33</f>
        <v>0</v>
      </c>
      <c r="Y35" s="12"/>
    </row>
    <row r="36" spans="2:25" ht="18" x14ac:dyDescent="0.2">
      <c r="B36" s="1407" t="str">
        <f>CONCATENATE('ACC9 (Page 7-8) Bal Sh~Bilan'!$E34," - ",'ACC9 (Page 7-8) Bal Sh~Bilan'!$F34)</f>
        <v>1270 - Available</v>
      </c>
      <c r="C36" s="1407"/>
      <c r="D36" s="1843"/>
      <c r="E36" s="1408"/>
      <c r="F36" s="797">
        <f>'ACC9 (Page 7-8) Bal Sh~Bilan'!M34</f>
        <v>0</v>
      </c>
      <c r="Y36" s="12"/>
    </row>
    <row r="37" spans="2:25" ht="18" x14ac:dyDescent="0.2">
      <c r="B37" s="1407" t="str">
        <f>CONCATENATE('ACC9 (Page 7-8) Bal Sh~Bilan'!$E35," - ",'ACC9 (Page 7-8) Bal Sh~Bilan'!$F35)</f>
        <v>1280 - Available</v>
      </c>
      <c r="C37" s="1407"/>
      <c r="D37" s="1843"/>
      <c r="E37" s="1408"/>
      <c r="F37" s="797">
        <f>'ACC9 (Page 7-8) Bal Sh~Bilan'!M35</f>
        <v>0</v>
      </c>
      <c r="Y37" s="12"/>
    </row>
    <row r="38" spans="2:25" ht="18" x14ac:dyDescent="0.2">
      <c r="B38" s="1407" t="str">
        <f>CONCATENATE('ACC9 (Page 7-8) Bal Sh~Bilan'!$E36," - ",'ACC9 (Page 7-8) Bal Sh~Bilan'!$F36)</f>
        <v>1290 - Available</v>
      </c>
      <c r="C38" s="1407"/>
      <c r="D38" s="1843"/>
      <c r="E38" s="1408"/>
      <c r="F38" s="797">
        <f>'ACC9 (Page 7-8) Bal Sh~Bilan'!M36</f>
        <v>0</v>
      </c>
      <c r="Y38" s="12"/>
    </row>
    <row r="39" spans="2:25" ht="8.25" customHeight="1" x14ac:dyDescent="0.2">
      <c r="B39" s="894"/>
      <c r="C39" s="1407"/>
      <c r="D39" s="1843"/>
      <c r="E39" s="1407"/>
      <c r="F39" s="798"/>
      <c r="Y39" s="12"/>
    </row>
    <row r="40" spans="2:25" ht="18" customHeight="1" x14ac:dyDescent="0.2">
      <c r="Y40" s="12"/>
    </row>
    <row r="41" spans="2:25" ht="8.25" customHeight="1" x14ac:dyDescent="0.2">
      <c r="B41" s="894"/>
      <c r="C41" s="777"/>
      <c r="D41" s="775"/>
      <c r="E41" s="777"/>
      <c r="F41" s="795"/>
      <c r="Y41" s="12"/>
    </row>
    <row r="42" spans="2:25" ht="8.25" customHeight="1" x14ac:dyDescent="0.2">
      <c r="B42" s="894"/>
      <c r="C42" s="777"/>
      <c r="D42" s="775"/>
      <c r="E42" s="777"/>
      <c r="F42" s="795"/>
      <c r="Y42" s="12"/>
    </row>
    <row r="43" spans="2:25" ht="18" x14ac:dyDescent="0.2">
      <c r="B43" s="1358" t="str">
        <f>'ACC9 (Page 7-8) Bal Sh~Bilan'!C59</f>
        <v>2000 - Current Liabilities:</v>
      </c>
      <c r="C43" s="1358"/>
      <c r="D43" s="1844"/>
      <c r="E43" s="1358"/>
      <c r="F43" s="795"/>
      <c r="Y43" s="12"/>
    </row>
    <row r="44" spans="2:25" ht="8.25" customHeight="1" x14ac:dyDescent="0.2">
      <c r="B44" s="894"/>
      <c r="C44" s="1407"/>
      <c r="D44" s="1843"/>
      <c r="E44" s="1407"/>
      <c r="F44" s="796"/>
      <c r="Y44" s="12"/>
    </row>
    <row r="45" spans="2:25" ht="18" x14ac:dyDescent="0.2">
      <c r="B45" s="1407" t="str">
        <f>CONCATENATE('ACC9 (Page 7-8) Bal Sh~Bilan'!$E60," - ",'ACC9 (Page 7-8) Bal Sh~Bilan'!$F60)</f>
        <v>2010 - Credit Card</v>
      </c>
      <c r="C45" s="1407"/>
      <c r="D45" s="1843"/>
      <c r="E45" s="1408"/>
      <c r="F45" s="797">
        <f>'ACC9 (Page 7-8) Bal Sh~Bilan'!M60</f>
        <v>0</v>
      </c>
      <c r="Y45" s="12"/>
    </row>
    <row r="46" spans="2:25" ht="18" x14ac:dyDescent="0.2">
      <c r="B46" s="1407" t="str">
        <f>CONCATENATE('ACC9 (Page 7-8) Bal Sh~Bilan'!$E61," - ",'ACC9 (Page 7-8) Bal Sh~Bilan'!$F61)</f>
        <v>2020 - Payables - Short Terms</v>
      </c>
      <c r="C46" s="1407"/>
      <c r="D46" s="1843"/>
      <c r="E46" s="1408"/>
      <c r="F46" s="797">
        <f>'ACC9 (Page 7-8) Bal Sh~Bilan'!M61</f>
        <v>0</v>
      </c>
      <c r="Y46" s="12"/>
    </row>
    <row r="47" spans="2:25" ht="18" x14ac:dyDescent="0.2">
      <c r="B47" s="1407" t="str">
        <f>CONCATENATE('ACC9 (Page 7-8) Bal Sh~Bilan'!$E62," - ",'ACC9 (Page 7-8) Bal Sh~Bilan'!$F62)</f>
        <v>2030 - Available</v>
      </c>
      <c r="C47" s="1407"/>
      <c r="D47" s="1843"/>
      <c r="E47" s="1408"/>
      <c r="F47" s="797">
        <f>'ACC9 (Page 7-8) Bal Sh~Bilan'!M62</f>
        <v>0</v>
      </c>
      <c r="Y47" s="12"/>
    </row>
    <row r="48" spans="2:25" ht="18" x14ac:dyDescent="0.2">
      <c r="B48" s="1407" t="str">
        <f>CONCATENATE('ACC9 (Page 7-8) Bal Sh~Bilan'!$E63," - ",'ACC9 (Page 7-8) Bal Sh~Bilan'!$F63)</f>
        <v>2040 - Available</v>
      </c>
      <c r="C48" s="1407"/>
      <c r="D48" s="1843"/>
      <c r="E48" s="1408"/>
      <c r="F48" s="797">
        <f>'ACC9 (Page 7-8) Bal Sh~Bilan'!M63</f>
        <v>0</v>
      </c>
      <c r="Y48" s="12"/>
    </row>
    <row r="49" spans="2:25" ht="18" x14ac:dyDescent="0.2">
      <c r="B49" s="1407" t="str">
        <f>CONCATENATE('ACC9 (Page 7-8) Bal Sh~Bilan'!$E64," - ",'ACC9 (Page 7-8) Bal Sh~Bilan'!$F64)</f>
        <v>2050 - Available</v>
      </c>
      <c r="C49" s="1407"/>
      <c r="D49" s="1843"/>
      <c r="E49" s="1408"/>
      <c r="F49" s="797">
        <f>'ACC9 (Page 7-8) Bal Sh~Bilan'!M64</f>
        <v>0</v>
      </c>
      <c r="Y49" s="12"/>
    </row>
    <row r="50" spans="2:25" ht="18" x14ac:dyDescent="0.2">
      <c r="B50" s="1407" t="str">
        <f>CONCATENATE('ACC9 (Page 7-8) Bal Sh~Bilan'!$E65," - ",'ACC9 (Page 7-8) Bal Sh~Bilan'!$F65)</f>
        <v>2060 - Available</v>
      </c>
      <c r="C50" s="1358"/>
      <c r="D50" s="1844"/>
      <c r="E50" s="1359"/>
      <c r="F50" s="797">
        <f>'ACC9 (Page 7-8) Bal Sh~Bilan'!M65</f>
        <v>0</v>
      </c>
      <c r="Y50" s="12"/>
    </row>
    <row r="51" spans="2:25" ht="18" x14ac:dyDescent="0.2">
      <c r="B51" s="1407" t="str">
        <f>CONCATENATE('ACC9 (Page 7-8) Bal Sh~Bilan'!$E66," - ",'ACC9 (Page 7-8) Bal Sh~Bilan'!$F66)</f>
        <v>2070 - Available</v>
      </c>
      <c r="C51" s="1407"/>
      <c r="D51" s="1843"/>
      <c r="E51" s="1408"/>
      <c r="F51" s="797">
        <f>'ACC9 (Page 7-8) Bal Sh~Bilan'!M66</f>
        <v>0</v>
      </c>
      <c r="Y51" s="12"/>
    </row>
    <row r="52" spans="2:25" ht="18" x14ac:dyDescent="0.2">
      <c r="B52" s="1407" t="str">
        <f>CONCATENATE('ACC9 (Page 7-8) Bal Sh~Bilan'!$E67," - ",'ACC9 (Page 7-8) Bal Sh~Bilan'!$F67)</f>
        <v>2080 - Available</v>
      </c>
      <c r="C52" s="1407"/>
      <c r="D52" s="1843"/>
      <c r="E52" s="1408"/>
      <c r="F52" s="797">
        <f>'ACC9 (Page 7-8) Bal Sh~Bilan'!M67</f>
        <v>0</v>
      </c>
      <c r="Y52" s="12"/>
    </row>
    <row r="53" spans="2:25" ht="18" x14ac:dyDescent="0.2">
      <c r="B53" s="1407" t="str">
        <f>CONCATENATE('ACC9 (Page 7-8) Bal Sh~Bilan'!$E68," - ",'ACC9 (Page 7-8) Bal Sh~Bilan'!$F68)</f>
        <v>2090 - Available</v>
      </c>
      <c r="C53" s="1407"/>
      <c r="D53" s="1843"/>
      <c r="E53" s="1408"/>
      <c r="F53" s="797">
        <f>'ACC9 (Page 7-8) Bal Sh~Bilan'!M68</f>
        <v>0</v>
      </c>
      <c r="Y53" s="12"/>
    </row>
    <row r="54" spans="2:25" ht="8.25" customHeight="1" x14ac:dyDescent="0.2">
      <c r="B54" s="894"/>
      <c r="C54" s="1407"/>
      <c r="D54" s="1843"/>
      <c r="E54" s="1407"/>
      <c r="F54" s="798"/>
      <c r="Y54" s="12"/>
    </row>
    <row r="55" spans="2:25" ht="18" x14ac:dyDescent="0.2">
      <c r="B55" s="1358" t="str">
        <f>'ACC9 (Page 7-8) Bal Sh~Bilan'!C70</f>
        <v>2200 - Long-Term Debts:</v>
      </c>
      <c r="C55" s="1358"/>
      <c r="D55" s="1844"/>
      <c r="E55" s="1358"/>
      <c r="F55" s="795"/>
      <c r="Y55" s="12"/>
    </row>
    <row r="56" spans="2:25" ht="8.25" customHeight="1" x14ac:dyDescent="0.2">
      <c r="B56" s="894"/>
      <c r="C56" s="1407"/>
      <c r="D56" s="1843"/>
      <c r="E56" s="1407"/>
      <c r="F56" s="796"/>
      <c r="Y56" s="12"/>
    </row>
    <row r="57" spans="2:25" ht="18" x14ac:dyDescent="0.2">
      <c r="B57" s="1407" t="str">
        <f>CONCATENATE('ACC9 (Page 7-8) Bal Sh~Bilan'!$E71," - ",'ACC9 (Page 7-8) Bal Sh~Bilan'!$F71)</f>
        <v>2210 - Mortgage</v>
      </c>
      <c r="C57" s="1407"/>
      <c r="D57" s="1843"/>
      <c r="E57" s="1408"/>
      <c r="F57" s="797">
        <f>'ACC9 (Page 7-8) Bal Sh~Bilan'!M71</f>
        <v>0</v>
      </c>
      <c r="Y57" s="12"/>
    </row>
    <row r="58" spans="2:25" ht="18" x14ac:dyDescent="0.2">
      <c r="B58" s="1407" t="str">
        <f>CONCATENATE('ACC9 (Page 7-8) Bal Sh~Bilan'!$E72," - ",'ACC9 (Page 7-8) Bal Sh~Bilan'!$F72)</f>
        <v>2220 - Bank Loan</v>
      </c>
      <c r="C58" s="1407"/>
      <c r="D58" s="1843"/>
      <c r="E58" s="1408"/>
      <c r="F58" s="797">
        <f>'ACC9 (Page 7-8) Bal Sh~Bilan'!M72</f>
        <v>0</v>
      </c>
      <c r="Y58" s="12"/>
    </row>
    <row r="59" spans="2:25" ht="18" x14ac:dyDescent="0.2">
      <c r="B59" s="1407" t="str">
        <f>CONCATENATE('ACC9 (Page 7-8) Bal Sh~Bilan'!$E73," - ",'ACC9 (Page 7-8) Bal Sh~Bilan'!$F73)</f>
        <v>2230 - Available</v>
      </c>
      <c r="C59" s="1407"/>
      <c r="D59" s="1843"/>
      <c r="E59" s="1408"/>
      <c r="F59" s="797">
        <f>'ACC9 (Page 7-8) Bal Sh~Bilan'!M73</f>
        <v>0</v>
      </c>
      <c r="Y59" s="12"/>
    </row>
    <row r="60" spans="2:25" ht="18" x14ac:dyDescent="0.2">
      <c r="B60" s="1407" t="str">
        <f>CONCATENATE('ACC9 (Page 7-8) Bal Sh~Bilan'!$E74," - ",'ACC9 (Page 7-8) Bal Sh~Bilan'!$F74)</f>
        <v>2240 - Available</v>
      </c>
      <c r="C60" s="1407"/>
      <c r="D60" s="1843"/>
      <c r="E60" s="1408"/>
      <c r="F60" s="797">
        <f>'ACC9 (Page 7-8) Bal Sh~Bilan'!M74</f>
        <v>0</v>
      </c>
      <c r="Y60" s="12"/>
    </row>
    <row r="61" spans="2:25" ht="18" x14ac:dyDescent="0.2">
      <c r="B61" s="1407" t="str">
        <f>CONCATENATE('ACC9 (Page 7-8) Bal Sh~Bilan'!$E75," - ",'ACC9 (Page 7-8) Bal Sh~Bilan'!$F75)</f>
        <v>2250 - Available</v>
      </c>
      <c r="C61" s="1407"/>
      <c r="D61" s="1843"/>
      <c r="E61" s="1408"/>
      <c r="F61" s="797">
        <f>'ACC9 (Page 7-8) Bal Sh~Bilan'!M75</f>
        <v>0</v>
      </c>
      <c r="Y61" s="12"/>
    </row>
    <row r="62" spans="2:25" ht="18" x14ac:dyDescent="0.2">
      <c r="B62" s="1407" t="str">
        <f>CONCATENATE('ACC9 (Page 7-8) Bal Sh~Bilan'!$E76," - ",'ACC9 (Page 7-8) Bal Sh~Bilan'!$F76)</f>
        <v>2260 - Available</v>
      </c>
      <c r="C62" s="1407"/>
      <c r="D62" s="1843"/>
      <c r="E62" s="1408"/>
      <c r="F62" s="797">
        <f>'ACC9 (Page 7-8) Bal Sh~Bilan'!M76</f>
        <v>0</v>
      </c>
      <c r="Y62" s="12"/>
    </row>
    <row r="63" spans="2:25" ht="18" x14ac:dyDescent="0.2">
      <c r="B63" s="1407" t="str">
        <f>CONCATENATE('ACC9 (Page 7-8) Bal Sh~Bilan'!$E77," - ",'ACC9 (Page 7-8) Bal Sh~Bilan'!$F77)</f>
        <v>2270 - Available</v>
      </c>
      <c r="C63" s="1407"/>
      <c r="D63" s="1843"/>
      <c r="E63" s="1408"/>
      <c r="F63" s="797">
        <f>'ACC9 (Page 7-8) Bal Sh~Bilan'!M77</f>
        <v>0</v>
      </c>
      <c r="Y63" s="12"/>
    </row>
    <row r="64" spans="2:25" ht="18" x14ac:dyDescent="0.2">
      <c r="B64" s="1407" t="str">
        <f>CONCATENATE('ACC9 (Page 7-8) Bal Sh~Bilan'!$E78," - ",'ACC9 (Page 7-8) Bal Sh~Bilan'!$F78)</f>
        <v>2280 - Available</v>
      </c>
      <c r="C64" s="1407"/>
      <c r="D64" s="1843"/>
      <c r="E64" s="1408"/>
      <c r="F64" s="797">
        <f>'ACC9 (Page 7-8) Bal Sh~Bilan'!M78</f>
        <v>0</v>
      </c>
      <c r="Y64" s="12"/>
    </row>
    <row r="65" spans="2:25" ht="18" x14ac:dyDescent="0.2">
      <c r="B65" s="1407" t="str">
        <f>CONCATENATE('ACC9 (Page 7-8) Bal Sh~Bilan'!$E79," - ",'ACC9 (Page 7-8) Bal Sh~Bilan'!$F79)</f>
        <v>2290 - Available</v>
      </c>
      <c r="C65" s="1407"/>
      <c r="D65" s="1843"/>
      <c r="E65" s="1408"/>
      <c r="F65" s="797">
        <f>'ACC9 (Page 7-8) Bal Sh~Bilan'!M79</f>
        <v>0</v>
      </c>
      <c r="Y65" s="12"/>
    </row>
    <row r="66" spans="2:25" ht="18.75" thickBot="1" x14ac:dyDescent="0.25">
      <c r="B66" s="777"/>
      <c r="C66" s="777"/>
      <c r="D66" s="775"/>
      <c r="E66" s="777"/>
      <c r="F66" s="900"/>
      <c r="Y66" s="12"/>
    </row>
    <row r="67" spans="2:25" ht="24.75" customHeight="1" thickTop="1" thickBot="1" x14ac:dyDescent="0.25">
      <c r="B67" s="777"/>
      <c r="C67" s="1847" t="str">
        <f>'Set up ~ Config'!B96</f>
        <v>E-3 - Last Year's ACC9 Information</v>
      </c>
      <c r="D67" s="1848"/>
      <c r="E67" s="1848"/>
      <c r="F67" s="1848"/>
      <c r="G67" s="1848"/>
      <c r="H67" s="1849"/>
      <c r="Y67" s="12"/>
    </row>
    <row r="68" spans="2:25" ht="24.75" customHeight="1" thickTop="1" x14ac:dyDescent="0.2">
      <c r="B68" s="777"/>
      <c r="C68" s="864"/>
      <c r="D68" s="864"/>
      <c r="E68" s="864"/>
      <c r="F68" s="864"/>
      <c r="G68" s="864"/>
      <c r="H68" s="864"/>
      <c r="Y68" s="12"/>
    </row>
    <row r="69" spans="2:25" ht="18" x14ac:dyDescent="0.2">
      <c r="B69" s="1854" t="str">
        <f>'Set up ~ Config'!C98</f>
        <v>Total Assets (line 1900)</v>
      </c>
      <c r="C69" s="1852"/>
      <c r="D69" s="1852"/>
      <c r="E69" s="1852"/>
      <c r="F69" s="1852"/>
      <c r="G69" s="1853"/>
      <c r="H69" s="801">
        <f>'ACC9 (Page 7-8) Bal Sh~Bilan'!N56</f>
        <v>0</v>
      </c>
      <c r="Y69" s="12"/>
    </row>
    <row r="70" spans="2:25" ht="18" x14ac:dyDescent="0.2">
      <c r="B70" s="902"/>
      <c r="C70" s="903"/>
      <c r="D70" s="904"/>
      <c r="E70" s="904"/>
      <c r="F70" s="894"/>
      <c r="G70" s="909"/>
      <c r="H70" s="218"/>
      <c r="Y70" s="12"/>
    </row>
    <row r="71" spans="2:25" ht="18" customHeight="1" x14ac:dyDescent="0.2">
      <c r="B71" s="1845" t="str">
        <f>'Set up ~ Config'!C99</f>
        <v>Retained Earnings (line 3100)</v>
      </c>
      <c r="C71" s="1845"/>
      <c r="D71" s="1845"/>
      <c r="E71" s="1845"/>
      <c r="F71" s="1845"/>
      <c r="G71" s="1846"/>
      <c r="H71" s="926">
        <f>'ACC9 (Page 7-8) Bal Sh~Bilan'!M85</f>
        <v>0</v>
      </c>
    </row>
    <row r="72" spans="2:25" ht="18" x14ac:dyDescent="0.2">
      <c r="B72" s="902"/>
      <c r="C72" s="903"/>
      <c r="D72" s="905"/>
      <c r="E72" s="905"/>
      <c r="F72" s="894"/>
      <c r="H72" s="799" t="s">
        <v>472</v>
      </c>
    </row>
    <row r="73" spans="2:25" s="2" customFormat="1" ht="18" customHeight="1" x14ac:dyDescent="0.2">
      <c r="B73" s="1845" t="str">
        <f>'Set up ~ Config'!B100</f>
        <v>Surplus/Deficit Revenue over Expenditures (line 3110)</v>
      </c>
      <c r="C73" s="1845"/>
      <c r="D73" s="1845"/>
      <c r="E73" s="1845"/>
      <c r="F73" s="1845"/>
      <c r="G73" s="1846"/>
      <c r="H73" s="926">
        <f>'ACC9 (Page 7-8) Bal Sh~Bilan'!M86</f>
        <v>0</v>
      </c>
      <c r="I73" s="651"/>
      <c r="O73" s="873"/>
    </row>
    <row r="74" spans="2:25" s="2" customFormat="1" ht="18" customHeight="1" x14ac:dyDescent="0.2">
      <c r="B74" s="906"/>
      <c r="C74" s="907"/>
      <c r="D74" s="905"/>
      <c r="E74" s="905"/>
      <c r="F74" s="908"/>
      <c r="H74" s="799" t="s">
        <v>472</v>
      </c>
      <c r="I74" s="651"/>
      <c r="O74" s="873"/>
    </row>
    <row r="75" spans="2:25" ht="18" customHeight="1" x14ac:dyDescent="0.2">
      <c r="B75" s="1845" t="str">
        <f>'Set up ~ Config'!C101</f>
        <v xml:space="preserve"> Current Liability (outstanding debt) (line 2400)</v>
      </c>
      <c r="C75" s="1845"/>
      <c r="D75" s="1845"/>
      <c r="E75" s="1845"/>
      <c r="F75" s="1845"/>
      <c r="G75" s="1846"/>
      <c r="H75" s="926">
        <f>'ACC9 (Page 7-8) Bal Sh~Bilan'!N81</f>
        <v>0</v>
      </c>
    </row>
    <row r="76" spans="2:25" ht="18" x14ac:dyDescent="0.2">
      <c r="B76" s="902"/>
      <c r="C76" s="903"/>
      <c r="D76" s="905"/>
      <c r="E76" s="905"/>
      <c r="F76" s="894"/>
      <c r="H76" s="799" t="s">
        <v>472</v>
      </c>
    </row>
    <row r="77" spans="2:25" s="2" customFormat="1" ht="17.25" customHeight="1" x14ac:dyDescent="0.2">
      <c r="B77" s="1852" t="str">
        <f>'Set up ~ Config'!C102</f>
        <v>Integer rounding adjustment (if used last year)</v>
      </c>
      <c r="C77" s="1852"/>
      <c r="D77" s="1852"/>
      <c r="E77" s="1852"/>
      <c r="F77" s="1852"/>
      <c r="G77" s="1853"/>
      <c r="H77" s="926">
        <f>'ACC9 (Page 7-8) Bal Sh~Bilan'!M87</f>
        <v>0</v>
      </c>
      <c r="I77" s="800"/>
      <c r="J77" s="476">
        <f>'ACC9 (Page 7-8) Bal Sh~Bilan'!Q80</f>
        <v>0</v>
      </c>
      <c r="K77" s="776"/>
      <c r="O77" s="873"/>
    </row>
    <row r="78" spans="2:25" ht="18" x14ac:dyDescent="0.2">
      <c r="B78" s="902"/>
      <c r="C78" s="907"/>
      <c r="D78" s="907"/>
      <c r="E78" s="907"/>
      <c r="F78" s="894"/>
      <c r="H78" s="925" t="s">
        <v>468</v>
      </c>
      <c r="I78" s="800"/>
      <c r="J78" s="1" t="str">
        <f>IF(J77=0,"True","False")</f>
        <v>True</v>
      </c>
      <c r="K78" s="776"/>
    </row>
    <row r="79" spans="2:25" ht="18" customHeight="1" x14ac:dyDescent="0.2">
      <c r="B79" s="1852" t="str">
        <f>IF(M1=2,"Total du passif et de l'avoir","Total Liabilities and Equity")</f>
        <v>Total Liabilities and Equity</v>
      </c>
      <c r="C79" s="1852"/>
      <c r="D79" s="1852"/>
      <c r="E79" s="1852"/>
      <c r="F79" s="1852"/>
      <c r="G79" s="1853"/>
      <c r="H79" s="901">
        <f>SUM(H71,H73,H75,H77)</f>
        <v>0</v>
      </c>
    </row>
    <row r="80" spans="2:25" ht="18" customHeight="1" thickBot="1" x14ac:dyDescent="0.25">
      <c r="C80" s="19"/>
      <c r="D80" s="19"/>
      <c r="E80" s="802"/>
      <c r="F80" s="607"/>
      <c r="H80" s="800"/>
      <c r="I80" s="800"/>
      <c r="J80" s="7"/>
      <c r="L80" s="2"/>
      <c r="M80" s="2"/>
      <c r="N80" s="2"/>
      <c r="O80" s="873"/>
    </row>
    <row r="81" spans="2:15" ht="48" customHeight="1" thickTop="1" thickBot="1" x14ac:dyDescent="0.25">
      <c r="C81" s="1850" t="str">
        <f>'Set up ~ Config'!B105</f>
        <v>E-4 - Cheques processed in previous year</v>
      </c>
      <c r="D81" s="1851"/>
      <c r="E81" s="1851"/>
      <c r="F81" s="1851"/>
      <c r="G81" s="1851"/>
      <c r="H81" s="1309" t="str">
        <f>IF(M1=2,"Cliquez une coche et re-cochez pour mettre à jour","Tick a box and tick it again to update")</f>
        <v>Tick a box and tick it again to update</v>
      </c>
      <c r="I81" s="866"/>
      <c r="J81" s="867"/>
      <c r="K81" s="867"/>
      <c r="L81" s="899"/>
      <c r="M81" s="873"/>
      <c r="O81" s="1"/>
    </row>
    <row r="82" spans="2:15" ht="30.75" thickBot="1" x14ac:dyDescent="0.25">
      <c r="C82" s="927" t="str">
        <f>'Set up ~ Config'!C107</f>
        <v>Ref #</v>
      </c>
      <c r="D82" s="928" t="str">
        <f>'Set up ~ Config'!D107</f>
        <v>Paid to</v>
      </c>
      <c r="E82" s="929" t="str">
        <f>'Set up ~ Config'!G107</f>
        <v>Amount</v>
      </c>
      <c r="F82" s="930" t="str">
        <f>'Set up ~ Config'!H107</f>
        <v>Date
(yyyy-mm-dd)</v>
      </c>
      <c r="G82" s="931">
        <f>'Set up ~ Config'!I107</f>
        <v>0</v>
      </c>
      <c r="H82" s="935"/>
      <c r="I82" s="876"/>
      <c r="J82" s="897"/>
      <c r="K82" s="897"/>
      <c r="L82" s="899"/>
      <c r="M82" s="873"/>
      <c r="O82" s="1"/>
    </row>
    <row r="83" spans="2:15" ht="15.75" thickBot="1" x14ac:dyDescent="0.25">
      <c r="C83" s="932" t="s">
        <v>525</v>
      </c>
      <c r="D83" s="933" t="s">
        <v>525</v>
      </c>
      <c r="E83" s="933" t="s">
        <v>525</v>
      </c>
      <c r="F83" s="934" t="s">
        <v>525</v>
      </c>
      <c r="G83" s="933" t="s">
        <v>525</v>
      </c>
      <c r="H83" s="924" t="s">
        <v>525</v>
      </c>
      <c r="I83" s="876"/>
      <c r="J83" s="876"/>
      <c r="K83" s="876"/>
      <c r="L83" s="899"/>
      <c r="M83" s="873"/>
      <c r="O83" s="26">
        <v>4</v>
      </c>
    </row>
    <row r="84" spans="2:15" ht="23.85" hidden="1" customHeight="1" thickTop="1" x14ac:dyDescent="0.2">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85" hidden="1" customHeight="1" x14ac:dyDescent="0.2">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85" hidden="1" customHeight="1" x14ac:dyDescent="0.2">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85" hidden="1" customHeight="1" x14ac:dyDescent="0.2">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85" hidden="1" customHeight="1" x14ac:dyDescent="0.2">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85" hidden="1" customHeight="1" x14ac:dyDescent="0.2">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85" hidden="1" customHeight="1" x14ac:dyDescent="0.2">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85" hidden="1" customHeight="1" x14ac:dyDescent="0.2">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85" hidden="1" customHeight="1" x14ac:dyDescent="0.2">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85" hidden="1" customHeight="1" x14ac:dyDescent="0.2">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85" hidden="1" customHeight="1" x14ac:dyDescent="0.2">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85" hidden="1" customHeight="1" x14ac:dyDescent="0.2">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85" hidden="1" customHeight="1" x14ac:dyDescent="0.2">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85" hidden="1" customHeight="1" x14ac:dyDescent="0.2">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85" hidden="1" customHeight="1" x14ac:dyDescent="0.2">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85" hidden="1" customHeight="1" x14ac:dyDescent="0.2">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85" hidden="1" customHeight="1" x14ac:dyDescent="0.2">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85" hidden="1" customHeight="1" x14ac:dyDescent="0.2">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85" hidden="1" customHeight="1" x14ac:dyDescent="0.2">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85" hidden="1" customHeight="1" x14ac:dyDescent="0.2">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85" hidden="1" customHeight="1" x14ac:dyDescent="0.2">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85" hidden="1" customHeight="1" x14ac:dyDescent="0.2">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85" hidden="1" customHeight="1" x14ac:dyDescent="0.2">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85" hidden="1" customHeight="1" x14ac:dyDescent="0.2">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85" hidden="1" customHeight="1" thickTop="1" x14ac:dyDescent="0.2">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85" hidden="1" customHeight="1" x14ac:dyDescent="0.2">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85" hidden="1" customHeight="1" x14ac:dyDescent="0.2">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85" hidden="1" customHeight="1" x14ac:dyDescent="0.2">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85" hidden="1" customHeight="1" x14ac:dyDescent="0.2">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85" hidden="1" customHeight="1" x14ac:dyDescent="0.2">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85" hidden="1" customHeight="1" x14ac:dyDescent="0.2">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85" hidden="1" customHeight="1" x14ac:dyDescent="0.2">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85" hidden="1" customHeight="1" x14ac:dyDescent="0.2">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85" hidden="1" customHeight="1" x14ac:dyDescent="0.2">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85" hidden="1" customHeight="1" x14ac:dyDescent="0.2">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85" hidden="1" customHeight="1" x14ac:dyDescent="0.2">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85" hidden="1" customHeight="1" x14ac:dyDescent="0.2">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85" hidden="1" customHeight="1" x14ac:dyDescent="0.2">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85" hidden="1" customHeight="1" x14ac:dyDescent="0.2">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85" hidden="1" customHeight="1" x14ac:dyDescent="0.2">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85" hidden="1" customHeight="1" x14ac:dyDescent="0.2">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85" hidden="1" customHeight="1" x14ac:dyDescent="0.2">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85" hidden="1" customHeight="1" x14ac:dyDescent="0.2">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85" hidden="1" customHeight="1" x14ac:dyDescent="0.2">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85" hidden="1" customHeight="1" x14ac:dyDescent="0.2">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85" hidden="1" customHeight="1" x14ac:dyDescent="0.2">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85" hidden="1" customHeight="1" x14ac:dyDescent="0.2">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85" hidden="1" customHeight="1" x14ac:dyDescent="0.2">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85" hidden="1" customHeight="1" x14ac:dyDescent="0.2">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85" hidden="1" customHeight="1" x14ac:dyDescent="0.2">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85" hidden="1" customHeight="1" x14ac:dyDescent="0.2">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85" hidden="1" customHeight="1" x14ac:dyDescent="0.2">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85" hidden="1" customHeight="1" x14ac:dyDescent="0.2">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85" hidden="1" customHeight="1" x14ac:dyDescent="0.2">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85" hidden="1" customHeight="1" x14ac:dyDescent="0.2">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85" hidden="1" customHeight="1" x14ac:dyDescent="0.2">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85" hidden="1" customHeight="1" x14ac:dyDescent="0.2">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85" hidden="1" customHeight="1" x14ac:dyDescent="0.2">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85" hidden="1" customHeight="1" x14ac:dyDescent="0.2">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85" hidden="1" customHeight="1" x14ac:dyDescent="0.2">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85" hidden="1" customHeight="1" x14ac:dyDescent="0.2">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85" hidden="1" customHeight="1" x14ac:dyDescent="0.2">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85" hidden="1" customHeight="1" x14ac:dyDescent="0.2">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85" hidden="1" customHeight="1" x14ac:dyDescent="0.2">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85" hidden="1" customHeight="1" x14ac:dyDescent="0.2">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85" hidden="1" customHeight="1" x14ac:dyDescent="0.2">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85" hidden="1" customHeight="1" x14ac:dyDescent="0.2">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85" hidden="1" customHeight="1" x14ac:dyDescent="0.2">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85" hidden="1" customHeight="1" x14ac:dyDescent="0.2">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85" hidden="1" customHeight="1" x14ac:dyDescent="0.2">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85" hidden="1" customHeight="1" x14ac:dyDescent="0.2">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85" hidden="1" customHeight="1" x14ac:dyDescent="0.2">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85" hidden="1" customHeight="1" x14ac:dyDescent="0.2">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85" hidden="1" customHeight="1" x14ac:dyDescent="0.2">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85" hidden="1" customHeight="1" x14ac:dyDescent="0.2">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85" hidden="1" customHeight="1" x14ac:dyDescent="0.2">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85" hidden="1" customHeight="1" x14ac:dyDescent="0.2">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85" hidden="1" customHeight="1" x14ac:dyDescent="0.2">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85" hidden="1" customHeight="1" x14ac:dyDescent="0.2">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85" hidden="1" customHeight="1" x14ac:dyDescent="0.2">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85" hidden="1" customHeight="1" x14ac:dyDescent="0.2">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85" hidden="1" customHeight="1" x14ac:dyDescent="0.2">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85" hidden="1" customHeight="1" x14ac:dyDescent="0.2">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85" hidden="1" customHeight="1" x14ac:dyDescent="0.2">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85" hidden="1" customHeight="1" x14ac:dyDescent="0.2">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85" hidden="1" customHeight="1" x14ac:dyDescent="0.2">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85" hidden="1" customHeight="1" x14ac:dyDescent="0.2">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85" hidden="1" customHeight="1" x14ac:dyDescent="0.2">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85" hidden="1" customHeight="1" x14ac:dyDescent="0.2">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85" hidden="1" customHeight="1" x14ac:dyDescent="0.2">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85" hidden="1" customHeight="1" x14ac:dyDescent="0.2">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85" hidden="1" customHeight="1" x14ac:dyDescent="0.2">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85" hidden="1" customHeight="1" x14ac:dyDescent="0.2">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85" hidden="1" customHeight="1" x14ac:dyDescent="0.2">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85" hidden="1" customHeight="1" x14ac:dyDescent="0.2">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85" hidden="1" customHeight="1" x14ac:dyDescent="0.2">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85" hidden="1" customHeight="1" x14ac:dyDescent="0.2">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85" hidden="1" customHeight="1" x14ac:dyDescent="0.2">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85" hidden="1" customHeight="1" x14ac:dyDescent="0.2">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85" hidden="1" customHeight="1" x14ac:dyDescent="0.2">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85" hidden="1" customHeight="1" x14ac:dyDescent="0.2">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85" hidden="1" customHeight="1" x14ac:dyDescent="0.2">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85" hidden="1" customHeight="1" x14ac:dyDescent="0.2">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85" hidden="1" customHeight="1" x14ac:dyDescent="0.2">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85" hidden="1" customHeight="1" x14ac:dyDescent="0.2">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85" hidden="1" customHeight="1" x14ac:dyDescent="0.2">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85" hidden="1" customHeight="1" x14ac:dyDescent="0.2">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85" hidden="1" customHeight="1" x14ac:dyDescent="0.2">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85" hidden="1" customHeight="1" x14ac:dyDescent="0.2">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85" hidden="1" customHeight="1" x14ac:dyDescent="0.2">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85" hidden="1" customHeight="1" x14ac:dyDescent="0.2">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85" hidden="1" customHeight="1" x14ac:dyDescent="0.2">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85" hidden="1" customHeight="1" x14ac:dyDescent="0.2">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85" hidden="1" customHeight="1" x14ac:dyDescent="0.2">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85" hidden="1" customHeight="1" x14ac:dyDescent="0.2">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85" hidden="1" customHeight="1" x14ac:dyDescent="0.2">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85" hidden="1" customHeight="1" x14ac:dyDescent="0.2">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85" hidden="1" customHeight="1" x14ac:dyDescent="0.2">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85" hidden="1" customHeight="1" x14ac:dyDescent="0.2">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85" hidden="1" customHeight="1" x14ac:dyDescent="0.2">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85" hidden="1" customHeight="1" x14ac:dyDescent="0.2">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85" hidden="1" customHeight="1" x14ac:dyDescent="0.2">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85" hidden="1" customHeight="1" x14ac:dyDescent="0.2">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85" hidden="1" customHeight="1" x14ac:dyDescent="0.2">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85" hidden="1" customHeight="1" x14ac:dyDescent="0.2">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85" hidden="1" customHeight="1" x14ac:dyDescent="0.2">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85" hidden="1" customHeight="1" x14ac:dyDescent="0.2">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85" hidden="1" customHeight="1" x14ac:dyDescent="0.2">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85" hidden="1" customHeight="1" x14ac:dyDescent="0.2">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85" hidden="1" customHeight="1" x14ac:dyDescent="0.2">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85" hidden="1" customHeight="1" x14ac:dyDescent="0.2">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85" hidden="1" customHeight="1" x14ac:dyDescent="0.2">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85" hidden="1" customHeight="1" x14ac:dyDescent="0.2">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85" hidden="1" customHeight="1" x14ac:dyDescent="0.2">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85" hidden="1" customHeight="1" x14ac:dyDescent="0.2">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85" hidden="1" customHeight="1" x14ac:dyDescent="0.2">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85" hidden="1" customHeight="1" x14ac:dyDescent="0.2">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85" hidden="1" customHeight="1" x14ac:dyDescent="0.2">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85" hidden="1" customHeight="1" x14ac:dyDescent="0.2">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85" hidden="1" customHeight="1" x14ac:dyDescent="0.2">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85" hidden="1" customHeight="1" x14ac:dyDescent="0.2">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85" hidden="1" customHeight="1" x14ac:dyDescent="0.2">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85" hidden="1" customHeight="1" x14ac:dyDescent="0.2">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85" hidden="1" customHeight="1" x14ac:dyDescent="0.2">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85" hidden="1" customHeight="1" x14ac:dyDescent="0.2">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85" hidden="1" customHeight="1" x14ac:dyDescent="0.2">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85" hidden="1" customHeight="1" x14ac:dyDescent="0.2">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85" hidden="1" customHeight="1" x14ac:dyDescent="0.2">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85" hidden="1" customHeight="1" x14ac:dyDescent="0.2">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85" hidden="1" customHeight="1" x14ac:dyDescent="0.2">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85" hidden="1" customHeight="1" x14ac:dyDescent="0.2">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85" hidden="1" customHeight="1" x14ac:dyDescent="0.2">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85" hidden="1" customHeight="1" x14ac:dyDescent="0.2">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85" hidden="1" customHeight="1" x14ac:dyDescent="0.2">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85" hidden="1" customHeight="1" x14ac:dyDescent="0.2">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85" hidden="1" customHeight="1" x14ac:dyDescent="0.2">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85" hidden="1" customHeight="1" x14ac:dyDescent="0.2">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85" hidden="1" customHeight="1" x14ac:dyDescent="0.2">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85" hidden="1" customHeight="1" x14ac:dyDescent="0.2">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85" hidden="1" customHeight="1" x14ac:dyDescent="0.2">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85" hidden="1" customHeight="1" x14ac:dyDescent="0.2">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85" hidden="1" customHeight="1" x14ac:dyDescent="0.2">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85" hidden="1" customHeight="1" x14ac:dyDescent="0.2">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85" hidden="1" customHeight="1" x14ac:dyDescent="0.2">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85" hidden="1" customHeight="1" x14ac:dyDescent="0.2">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85" hidden="1" customHeight="1" x14ac:dyDescent="0.2">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85" hidden="1" customHeight="1" x14ac:dyDescent="0.2">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85" hidden="1" customHeight="1" x14ac:dyDescent="0.2">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85" hidden="1" customHeight="1" x14ac:dyDescent="0.2">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85" hidden="1" customHeight="1" x14ac:dyDescent="0.2">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85" hidden="1" customHeight="1" x14ac:dyDescent="0.2">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85" hidden="1" customHeight="1" x14ac:dyDescent="0.2">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85" hidden="1" customHeight="1" x14ac:dyDescent="0.2">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85" hidden="1" customHeight="1" x14ac:dyDescent="0.2">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85" hidden="1" customHeight="1" x14ac:dyDescent="0.2">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85" hidden="1" customHeight="1" x14ac:dyDescent="0.2">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85" hidden="1" customHeight="1" x14ac:dyDescent="0.2">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85" hidden="1" customHeight="1" x14ac:dyDescent="0.2">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85" hidden="1" customHeight="1" x14ac:dyDescent="0.2">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85" hidden="1" customHeight="1" x14ac:dyDescent="0.2">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85" hidden="1" customHeight="1" x14ac:dyDescent="0.2">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85" hidden="1" customHeight="1" x14ac:dyDescent="0.2">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85" hidden="1" customHeight="1" x14ac:dyDescent="0.2">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85" hidden="1" customHeight="1" x14ac:dyDescent="0.2">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85" hidden="1" customHeight="1" x14ac:dyDescent="0.2">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85" hidden="1" customHeight="1" x14ac:dyDescent="0.2">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85" hidden="1" customHeight="1" x14ac:dyDescent="0.2">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85" hidden="1" customHeight="1" x14ac:dyDescent="0.2">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85" hidden="1" customHeight="1" x14ac:dyDescent="0.2">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85" hidden="1" customHeight="1" x14ac:dyDescent="0.2">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85" hidden="1" customHeight="1" x14ac:dyDescent="0.2">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85" hidden="1" customHeight="1" x14ac:dyDescent="0.2">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85" hidden="1" customHeight="1" x14ac:dyDescent="0.2">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85" hidden="1" customHeight="1" x14ac:dyDescent="0.2">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85" hidden="1" customHeight="1" x14ac:dyDescent="0.2">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85" hidden="1" customHeight="1" x14ac:dyDescent="0.2">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85" hidden="1" customHeight="1" x14ac:dyDescent="0.2">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85" hidden="1" customHeight="1" x14ac:dyDescent="0.2">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85" hidden="1" customHeight="1" x14ac:dyDescent="0.2">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85" hidden="1" customHeight="1" x14ac:dyDescent="0.2">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85" hidden="1" customHeight="1" x14ac:dyDescent="0.2">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85" hidden="1" customHeight="1" x14ac:dyDescent="0.2">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85" hidden="1" customHeight="1" x14ac:dyDescent="0.2">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85" hidden="1" customHeight="1" x14ac:dyDescent="0.2">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85" hidden="1" customHeight="1" x14ac:dyDescent="0.2">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85" hidden="1" customHeight="1" x14ac:dyDescent="0.2">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85" hidden="1" customHeight="1" x14ac:dyDescent="0.2">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85" hidden="1" customHeight="1" x14ac:dyDescent="0.2">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85" hidden="1" customHeight="1" x14ac:dyDescent="0.2">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85" hidden="1" customHeight="1" x14ac:dyDescent="0.2">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85" hidden="1" customHeight="1" x14ac:dyDescent="0.2">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85" hidden="1" customHeight="1" x14ac:dyDescent="0.2">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85" hidden="1" customHeight="1" x14ac:dyDescent="0.2">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85" hidden="1" customHeight="1" x14ac:dyDescent="0.2">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85" hidden="1" customHeight="1" x14ac:dyDescent="0.2">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85" hidden="1" customHeight="1" x14ac:dyDescent="0.2">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85" hidden="1" customHeight="1" x14ac:dyDescent="0.2">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85" hidden="1" customHeight="1" x14ac:dyDescent="0.2">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85" hidden="1" customHeight="1" x14ac:dyDescent="0.2">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85" hidden="1" customHeight="1" x14ac:dyDescent="0.2">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85" hidden="1" customHeight="1" x14ac:dyDescent="0.2">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85" hidden="1" customHeight="1" x14ac:dyDescent="0.2">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85" hidden="1" customHeight="1" x14ac:dyDescent="0.2">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85" hidden="1" customHeight="1" x14ac:dyDescent="0.2">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85" hidden="1" customHeight="1" x14ac:dyDescent="0.2">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85" hidden="1" customHeight="1" x14ac:dyDescent="0.2">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85" hidden="1" customHeight="1" x14ac:dyDescent="0.2">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85" hidden="1" customHeight="1" x14ac:dyDescent="0.2">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85" hidden="1" customHeight="1" x14ac:dyDescent="0.2">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85" hidden="1" customHeight="1" x14ac:dyDescent="0.2">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85" hidden="1" customHeight="1" x14ac:dyDescent="0.2">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85" hidden="1" customHeight="1" x14ac:dyDescent="0.2">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85" hidden="1" customHeight="1" x14ac:dyDescent="0.2">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85" hidden="1" customHeight="1" x14ac:dyDescent="0.2">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85" hidden="1" customHeight="1" x14ac:dyDescent="0.2">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85" hidden="1" customHeight="1" x14ac:dyDescent="0.2">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85" hidden="1" customHeight="1" x14ac:dyDescent="0.2">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85" hidden="1" customHeight="1" x14ac:dyDescent="0.2">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85" hidden="1" customHeight="1" x14ac:dyDescent="0.2">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85" hidden="1" customHeight="1" x14ac:dyDescent="0.2">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85" hidden="1" customHeight="1" x14ac:dyDescent="0.2">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85" hidden="1" customHeight="1" x14ac:dyDescent="0.2">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85" hidden="1" customHeight="1" x14ac:dyDescent="0.2">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85" hidden="1" customHeight="1" x14ac:dyDescent="0.2">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85" hidden="1" customHeight="1" x14ac:dyDescent="0.2">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85" hidden="1" customHeight="1" x14ac:dyDescent="0.2">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85" hidden="1" customHeight="1" x14ac:dyDescent="0.2">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85" hidden="1" customHeight="1" x14ac:dyDescent="0.2">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85" hidden="1" customHeight="1" x14ac:dyDescent="0.2">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85" hidden="1" customHeight="1" x14ac:dyDescent="0.2">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85" hidden="1" customHeight="1" x14ac:dyDescent="0.2">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85" hidden="1" customHeight="1" x14ac:dyDescent="0.2">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85" hidden="1" customHeight="1" x14ac:dyDescent="0.2">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85" hidden="1" customHeight="1" x14ac:dyDescent="0.2">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85" hidden="1" customHeight="1" x14ac:dyDescent="0.2">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85" hidden="1" customHeight="1" x14ac:dyDescent="0.2">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85" hidden="1" customHeight="1" x14ac:dyDescent="0.2">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85" hidden="1" customHeight="1" x14ac:dyDescent="0.2">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85" hidden="1" customHeight="1" x14ac:dyDescent="0.2">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85" hidden="1" customHeight="1" x14ac:dyDescent="0.2">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85" hidden="1" customHeight="1" x14ac:dyDescent="0.2">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85" hidden="1" customHeight="1" x14ac:dyDescent="0.2">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85" hidden="1" customHeight="1" x14ac:dyDescent="0.2">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85" hidden="1" customHeight="1" x14ac:dyDescent="0.2">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85" hidden="1" customHeight="1" x14ac:dyDescent="0.2">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85" hidden="1" customHeight="1" x14ac:dyDescent="0.2">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85" hidden="1" customHeight="1" x14ac:dyDescent="0.2">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85" hidden="1" customHeight="1" x14ac:dyDescent="0.2">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85" hidden="1" customHeight="1" x14ac:dyDescent="0.2">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85" hidden="1" customHeight="1" x14ac:dyDescent="0.2">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85" hidden="1" customHeight="1" x14ac:dyDescent="0.2">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85" hidden="1" customHeight="1" x14ac:dyDescent="0.2">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85" hidden="1" customHeight="1" x14ac:dyDescent="0.2">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85" hidden="1" customHeight="1" x14ac:dyDescent="0.2">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85" hidden="1" customHeight="1" x14ac:dyDescent="0.2">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85" hidden="1" customHeight="1" x14ac:dyDescent="0.2">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85" hidden="1" customHeight="1" x14ac:dyDescent="0.2">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85" hidden="1" customHeight="1" x14ac:dyDescent="0.2">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85" hidden="1" customHeight="1" x14ac:dyDescent="0.2">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85" hidden="1" customHeight="1" x14ac:dyDescent="0.2">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85" hidden="1" customHeight="1" x14ac:dyDescent="0.2">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85" hidden="1" customHeight="1" x14ac:dyDescent="0.2">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85" hidden="1" customHeight="1" x14ac:dyDescent="0.2">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85" hidden="1" customHeight="1" x14ac:dyDescent="0.2">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85" hidden="1" customHeight="1" x14ac:dyDescent="0.2">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85" hidden="1" customHeight="1" x14ac:dyDescent="0.2">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85" hidden="1" customHeight="1" x14ac:dyDescent="0.2">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85" hidden="1" customHeight="1" x14ac:dyDescent="0.2">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85" hidden="1" customHeight="1" x14ac:dyDescent="0.2">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85" hidden="1" customHeight="1" x14ac:dyDescent="0.2">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85" hidden="1" customHeight="1" x14ac:dyDescent="0.2">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85" hidden="1" customHeight="1" x14ac:dyDescent="0.2">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85" hidden="1" customHeight="1" x14ac:dyDescent="0.2">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85" hidden="1" customHeight="1" x14ac:dyDescent="0.2">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85" hidden="1" customHeight="1" x14ac:dyDescent="0.2">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85" hidden="1" customHeight="1" x14ac:dyDescent="0.2">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85" hidden="1" customHeight="1" x14ac:dyDescent="0.2">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85" hidden="1" customHeight="1" x14ac:dyDescent="0.2">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85" hidden="1" customHeight="1" x14ac:dyDescent="0.2">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85" hidden="1" customHeight="1" x14ac:dyDescent="0.2">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85" hidden="1" customHeight="1" x14ac:dyDescent="0.2">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85" hidden="1" customHeight="1" x14ac:dyDescent="0.2">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85" hidden="1" customHeight="1" x14ac:dyDescent="0.2">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85" hidden="1" customHeight="1" x14ac:dyDescent="0.2">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85" hidden="1" customHeight="1" x14ac:dyDescent="0.2">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85" hidden="1" customHeight="1" x14ac:dyDescent="0.2">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85" hidden="1" customHeight="1" x14ac:dyDescent="0.2">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85" hidden="1" customHeight="1" x14ac:dyDescent="0.2">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85" hidden="1" customHeight="1" x14ac:dyDescent="0.2">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85" hidden="1" customHeight="1" x14ac:dyDescent="0.2">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85" hidden="1" customHeight="1" x14ac:dyDescent="0.2">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85" hidden="1" customHeight="1" x14ac:dyDescent="0.2">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85" hidden="1" customHeight="1" x14ac:dyDescent="0.2">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85" hidden="1" customHeight="1" x14ac:dyDescent="0.2">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85" hidden="1" customHeight="1" x14ac:dyDescent="0.2">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85" hidden="1" customHeight="1" x14ac:dyDescent="0.2">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85" hidden="1" customHeight="1" x14ac:dyDescent="0.2">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85" hidden="1" customHeight="1" x14ac:dyDescent="0.2">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85" hidden="1" customHeight="1" x14ac:dyDescent="0.2">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85" hidden="1" customHeight="1" x14ac:dyDescent="0.2">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85" hidden="1" customHeight="1" x14ac:dyDescent="0.2">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85" hidden="1" customHeight="1" x14ac:dyDescent="0.2">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85" hidden="1" customHeight="1" x14ac:dyDescent="0.2">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85" hidden="1" customHeight="1" x14ac:dyDescent="0.2">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85" hidden="1" customHeight="1" x14ac:dyDescent="0.2">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85" hidden="1" customHeight="1" x14ac:dyDescent="0.2">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85" hidden="1" customHeight="1" x14ac:dyDescent="0.2">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85" hidden="1" customHeight="1" x14ac:dyDescent="0.2">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85" hidden="1" customHeight="1" x14ac:dyDescent="0.2">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85" hidden="1" customHeight="1" x14ac:dyDescent="0.2">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85" hidden="1" customHeight="1" x14ac:dyDescent="0.2">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85" hidden="1" customHeight="1" x14ac:dyDescent="0.2">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85" hidden="1" customHeight="1" x14ac:dyDescent="0.2">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85" hidden="1" customHeight="1" x14ac:dyDescent="0.2">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85" hidden="1" customHeight="1" x14ac:dyDescent="0.2">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85" hidden="1" customHeight="1" x14ac:dyDescent="0.2">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85" hidden="1" customHeight="1" x14ac:dyDescent="0.2">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85" hidden="1" customHeight="1" x14ac:dyDescent="0.2">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85" hidden="1" customHeight="1" x14ac:dyDescent="0.2">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85" hidden="1" customHeight="1" x14ac:dyDescent="0.2">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85" hidden="1" customHeight="1" x14ac:dyDescent="0.2">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85" hidden="1" customHeight="1" x14ac:dyDescent="0.2">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85" hidden="1" customHeight="1" x14ac:dyDescent="0.2">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85" hidden="1" customHeight="1" x14ac:dyDescent="0.2">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85" hidden="1" customHeight="1" x14ac:dyDescent="0.2">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85" hidden="1" customHeight="1" x14ac:dyDescent="0.2">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85" hidden="1" customHeight="1" x14ac:dyDescent="0.2">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85" hidden="1" customHeight="1" x14ac:dyDescent="0.2">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85" hidden="1" customHeight="1" x14ac:dyDescent="0.2">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85" hidden="1" customHeight="1" x14ac:dyDescent="0.2">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85" hidden="1" customHeight="1" x14ac:dyDescent="0.2">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85" hidden="1" customHeight="1" x14ac:dyDescent="0.2">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85" hidden="1" customHeight="1" x14ac:dyDescent="0.2">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85" hidden="1" customHeight="1" x14ac:dyDescent="0.2">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85" hidden="1" customHeight="1" x14ac:dyDescent="0.2">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85" hidden="1" customHeight="1" x14ac:dyDescent="0.2">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85" hidden="1" customHeight="1" x14ac:dyDescent="0.2">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85" hidden="1" customHeight="1" x14ac:dyDescent="0.2">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85" hidden="1" customHeight="1" x14ac:dyDescent="0.2">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85" hidden="1" customHeight="1" x14ac:dyDescent="0.2">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85" hidden="1" customHeight="1" x14ac:dyDescent="0.2">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85" hidden="1" customHeight="1" x14ac:dyDescent="0.2">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85" hidden="1" customHeight="1" x14ac:dyDescent="0.2">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85" hidden="1" customHeight="1" x14ac:dyDescent="0.2">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85" hidden="1" customHeight="1" x14ac:dyDescent="0.2">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85" hidden="1" customHeight="1" x14ac:dyDescent="0.2">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85" hidden="1" customHeight="1" x14ac:dyDescent="0.2">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85" hidden="1" customHeight="1" x14ac:dyDescent="0.2">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85" hidden="1" customHeight="1" x14ac:dyDescent="0.2">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85" hidden="1" customHeight="1" x14ac:dyDescent="0.2">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85" hidden="1" customHeight="1" x14ac:dyDescent="0.2">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85" hidden="1" customHeight="1" x14ac:dyDescent="0.2">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85" hidden="1" customHeight="1" x14ac:dyDescent="0.2">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85" hidden="1" customHeight="1" x14ac:dyDescent="0.2">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85" hidden="1" customHeight="1" x14ac:dyDescent="0.2">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85" hidden="1" customHeight="1" x14ac:dyDescent="0.2">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85" hidden="1" customHeight="1" x14ac:dyDescent="0.2">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85" hidden="1" customHeight="1" x14ac:dyDescent="0.2">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85" hidden="1" customHeight="1" x14ac:dyDescent="0.2">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85" hidden="1" customHeight="1" x14ac:dyDescent="0.2">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85" hidden="1" customHeight="1" x14ac:dyDescent="0.2">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85" hidden="1" customHeight="1" x14ac:dyDescent="0.2">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85" hidden="1" customHeight="1" x14ac:dyDescent="0.2">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85" hidden="1" customHeight="1" x14ac:dyDescent="0.2">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85" hidden="1" customHeight="1" x14ac:dyDescent="0.2">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85" hidden="1" customHeight="1" x14ac:dyDescent="0.2">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85" hidden="1" customHeight="1" x14ac:dyDescent="0.2">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85" hidden="1" customHeight="1" x14ac:dyDescent="0.2">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85" hidden="1" customHeight="1" x14ac:dyDescent="0.2">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85" hidden="1" customHeight="1" x14ac:dyDescent="0.2">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85" hidden="1" customHeight="1" x14ac:dyDescent="0.2">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85" hidden="1" customHeight="1" x14ac:dyDescent="0.2">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85" hidden="1" customHeight="1" x14ac:dyDescent="0.2">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85" hidden="1" customHeight="1" x14ac:dyDescent="0.2">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85" hidden="1" customHeight="1" x14ac:dyDescent="0.2">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85" hidden="1" customHeight="1" x14ac:dyDescent="0.2">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85" hidden="1" customHeight="1" x14ac:dyDescent="0.2">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85" hidden="1" customHeight="1" x14ac:dyDescent="0.2">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85" hidden="1" customHeight="1" x14ac:dyDescent="0.2">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85" hidden="1" customHeight="1" x14ac:dyDescent="0.2">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85" hidden="1" customHeight="1" x14ac:dyDescent="0.2">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85" hidden="1" customHeight="1" x14ac:dyDescent="0.2">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85" hidden="1" customHeight="1" x14ac:dyDescent="0.2">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85" hidden="1" customHeight="1" x14ac:dyDescent="0.2">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85" hidden="1" customHeight="1" x14ac:dyDescent="0.2">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85" hidden="1" customHeight="1" x14ac:dyDescent="0.2">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85" hidden="1" customHeight="1" x14ac:dyDescent="0.2">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85" hidden="1" customHeight="1" x14ac:dyDescent="0.2">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85" hidden="1" customHeight="1" x14ac:dyDescent="0.2">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85" hidden="1" customHeight="1" x14ac:dyDescent="0.2">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85" hidden="1" customHeight="1" x14ac:dyDescent="0.2">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85" hidden="1" customHeight="1" x14ac:dyDescent="0.2">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85" hidden="1" customHeight="1" x14ac:dyDescent="0.2">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85" hidden="1" customHeight="1" x14ac:dyDescent="0.2">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85" hidden="1" customHeight="1" x14ac:dyDescent="0.2">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85" hidden="1" customHeight="1" x14ac:dyDescent="0.2">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85" hidden="1" customHeight="1" x14ac:dyDescent="0.2">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85" hidden="1" customHeight="1" x14ac:dyDescent="0.2">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85" hidden="1" customHeight="1" x14ac:dyDescent="0.2">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85" hidden="1" customHeight="1" x14ac:dyDescent="0.2">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85" hidden="1" customHeight="1" x14ac:dyDescent="0.2">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85" hidden="1" customHeight="1" x14ac:dyDescent="0.2">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85" hidden="1" customHeight="1" x14ac:dyDescent="0.2">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85" hidden="1" customHeight="1" x14ac:dyDescent="0.2">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85" hidden="1" customHeight="1" x14ac:dyDescent="0.2">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85" hidden="1" customHeight="1" x14ac:dyDescent="0.2">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85" hidden="1" customHeight="1" x14ac:dyDescent="0.2">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85" hidden="1" customHeight="1" x14ac:dyDescent="0.2">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85" hidden="1" customHeight="1" x14ac:dyDescent="0.2">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85" hidden="1" customHeight="1" x14ac:dyDescent="0.2">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85" hidden="1" customHeight="1" x14ac:dyDescent="0.2">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85" hidden="1" customHeight="1" x14ac:dyDescent="0.2">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85" hidden="1" customHeight="1" x14ac:dyDescent="0.2">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85" hidden="1" customHeight="1" x14ac:dyDescent="0.2">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85" hidden="1" customHeight="1" x14ac:dyDescent="0.2">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85" hidden="1" customHeight="1" x14ac:dyDescent="0.2">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85" hidden="1" customHeight="1" x14ac:dyDescent="0.2">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85" hidden="1" customHeight="1" x14ac:dyDescent="0.2">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85" hidden="1" customHeight="1" x14ac:dyDescent="0.2">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85" hidden="1" customHeight="1" x14ac:dyDescent="0.2">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85" hidden="1" customHeight="1" x14ac:dyDescent="0.2">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85" hidden="1" customHeight="1" x14ac:dyDescent="0.2">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85" hidden="1" customHeight="1" x14ac:dyDescent="0.2">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85" hidden="1" customHeight="1" x14ac:dyDescent="0.2">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85" hidden="1" customHeight="1" x14ac:dyDescent="0.2">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85" hidden="1" customHeight="1" x14ac:dyDescent="0.2">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85" hidden="1" customHeight="1" x14ac:dyDescent="0.2">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85" hidden="1" customHeight="1" x14ac:dyDescent="0.2">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85" hidden="1" customHeight="1" x14ac:dyDescent="0.2">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85" hidden="1" customHeight="1" x14ac:dyDescent="0.2">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85" hidden="1" customHeight="1" x14ac:dyDescent="0.2">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85" hidden="1" customHeight="1" x14ac:dyDescent="0.2">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85" hidden="1" customHeight="1" x14ac:dyDescent="0.2">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85" hidden="1" customHeight="1" x14ac:dyDescent="0.2">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85" hidden="1" customHeight="1" x14ac:dyDescent="0.2">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85" hidden="1" customHeight="1" x14ac:dyDescent="0.2">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85" hidden="1" customHeight="1" x14ac:dyDescent="0.2">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85" hidden="1" customHeight="1" x14ac:dyDescent="0.2">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85" hidden="1" customHeight="1" x14ac:dyDescent="0.2">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85" hidden="1" customHeight="1" x14ac:dyDescent="0.2">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85" hidden="1" customHeight="1" x14ac:dyDescent="0.2">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85" hidden="1" customHeight="1" x14ac:dyDescent="0.2">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85" hidden="1" customHeight="1" x14ac:dyDescent="0.2">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85" hidden="1" customHeight="1" x14ac:dyDescent="0.2">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85" hidden="1" customHeight="1" x14ac:dyDescent="0.2">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85" hidden="1" customHeight="1" x14ac:dyDescent="0.2">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85" hidden="1" customHeight="1" x14ac:dyDescent="0.2">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85" hidden="1" customHeight="1" x14ac:dyDescent="0.2">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85" hidden="1" customHeight="1" x14ac:dyDescent="0.2">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85" hidden="1" customHeight="1" x14ac:dyDescent="0.2">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85" hidden="1" customHeight="1" x14ac:dyDescent="0.2">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85" hidden="1" customHeight="1" x14ac:dyDescent="0.2">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85" hidden="1" customHeight="1" x14ac:dyDescent="0.2">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85" hidden="1" customHeight="1" x14ac:dyDescent="0.2">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85" hidden="1" customHeight="1" x14ac:dyDescent="0.2">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85" hidden="1" customHeight="1" x14ac:dyDescent="0.2">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85" hidden="1" customHeight="1" x14ac:dyDescent="0.2">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85" hidden="1" customHeight="1" x14ac:dyDescent="0.2">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85" hidden="1" customHeight="1" x14ac:dyDescent="0.2">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85" hidden="1" customHeight="1" x14ac:dyDescent="0.2">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85" hidden="1" customHeight="1" x14ac:dyDescent="0.2">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85" hidden="1" customHeight="1" x14ac:dyDescent="0.2">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85" hidden="1" customHeight="1" x14ac:dyDescent="0.2">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85" hidden="1" customHeight="1" x14ac:dyDescent="0.2">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85" hidden="1" customHeight="1" x14ac:dyDescent="0.2">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85" hidden="1" customHeight="1" x14ac:dyDescent="0.2">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85" hidden="1" customHeight="1" x14ac:dyDescent="0.2">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85" hidden="1" customHeight="1" x14ac:dyDescent="0.2">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85" hidden="1" customHeight="1" x14ac:dyDescent="0.2">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85" hidden="1" customHeight="1" x14ac:dyDescent="0.2">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85" hidden="1" customHeight="1" x14ac:dyDescent="0.2">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85" hidden="1" customHeight="1" x14ac:dyDescent="0.2">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85" hidden="1" customHeight="1" x14ac:dyDescent="0.2">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85" hidden="1" customHeight="1" x14ac:dyDescent="0.2">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85" hidden="1" customHeight="1" x14ac:dyDescent="0.2">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85" hidden="1" customHeight="1" thickTop="1" x14ac:dyDescent="0.2">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85" hidden="1" customHeight="1" x14ac:dyDescent="0.2">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85" hidden="1" customHeight="1" x14ac:dyDescent="0.2">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85" hidden="1" customHeight="1" x14ac:dyDescent="0.2">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85" hidden="1" customHeight="1" x14ac:dyDescent="0.2">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3.5" thickTop="1" x14ac:dyDescent="0.2"/>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filterColumn colId="13">
      <filters>
        <filter val="4"/>
      </filters>
    </filterColumn>
  </autoFilter>
  <mergeCells count="69">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32:E32"/>
    <mergeCell ref="B43:E43"/>
    <mergeCell ref="B45:E45"/>
    <mergeCell ref="B46:E46"/>
    <mergeCell ref="B47:E47"/>
    <mergeCell ref="B33:E33"/>
    <mergeCell ref="B34:E34"/>
    <mergeCell ref="B35:E35"/>
    <mergeCell ref="B36:E36"/>
    <mergeCell ref="B37:E37"/>
    <mergeCell ref="C44:E44"/>
    <mergeCell ref="B75:G75"/>
    <mergeCell ref="C67:H67"/>
    <mergeCell ref="C81:G81"/>
    <mergeCell ref="B77:G77"/>
    <mergeCell ref="B79:G79"/>
    <mergeCell ref="B69:G69"/>
    <mergeCell ref="B71:G71"/>
    <mergeCell ref="B73:G73"/>
    <mergeCell ref="B61:E61"/>
    <mergeCell ref="B62:E62"/>
    <mergeCell ref="B63:E63"/>
    <mergeCell ref="B64:E64"/>
    <mergeCell ref="B65:E65"/>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formula1>0</formula1>
      <formula2>0</formula2>
    </dataValidation>
    <dataValidation allowBlank="1" showErrorMessage="1" promptTitle="3100" prompt="Enter line 3100 from last year's ACC-9 (from page 4)" sqref="H71:H72">
      <formula1>0</formula1>
      <formula2>0</formula2>
    </dataValidation>
    <dataValidation allowBlank="1" showErrorMessage="1" promptTitle="3110" prompt="Enter the amount from line 3110 of last year's ACC-9 (page 4)" sqref="H73:H74">
      <formula1>0</formula1>
      <formula2>0</formula2>
    </dataValidation>
    <dataValidation allowBlank="1" showErrorMessage="1" sqref="H75:H76">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defaultRowHeight="12.75" x14ac:dyDescent="0.2"/>
  <cols>
    <col min="1" max="1" width="3.28515625" style="1" customWidth="1"/>
    <col min="2" max="2" width="6.5703125" style="198" customWidth="1"/>
    <col min="3" max="3" width="6.5703125" style="17" customWidth="1"/>
    <col min="4" max="4" width="8.85546875" style="17" customWidth="1"/>
    <col min="5" max="5" width="66.28515625" style="508" customWidth="1"/>
    <col min="6" max="6" width="37.85546875" style="573" customWidth="1"/>
    <col min="7" max="7" width="16.7109375" style="573" customWidth="1"/>
    <col min="8" max="8" width="19.140625" style="572" customWidth="1"/>
    <col min="9" max="9" width="19.140625" style="198" customWidth="1"/>
    <col min="10" max="10" width="35.28515625" style="572" customWidth="1"/>
    <col min="11" max="11" width="18.5703125" customWidth="1"/>
    <col min="12" max="12" width="3.42578125" style="1" customWidth="1"/>
    <col min="13" max="13" width="6" style="1" customWidth="1"/>
    <col min="14" max="14" width="10.42578125" style="1" customWidth="1"/>
    <col min="15" max="15" width="30.7109375" style="1" customWidth="1"/>
    <col min="16" max="16" width="2.7109375" style="1" customWidth="1"/>
    <col min="17" max="17" width="6" style="1" customWidth="1"/>
  </cols>
  <sheetData>
    <row r="1" spans="1:17" ht="27.75" x14ac:dyDescent="0.4">
      <c r="B1" s="1511" t="str">
        <f>IF(N7=2,"Estimé du prochain budget","Estimated Next Budget")</f>
        <v>Estimated Next Budget</v>
      </c>
      <c r="C1" s="1511"/>
      <c r="D1" s="1511"/>
      <c r="E1" s="1511"/>
      <c r="F1" s="1511"/>
      <c r="G1" s="1511"/>
      <c r="H1" s="1511"/>
      <c r="I1" s="1511"/>
      <c r="J1" s="1511"/>
      <c r="K1" s="1511"/>
      <c r="M1" s="868"/>
      <c r="N1" s="1592" t="str">
        <f>IF(N7=2,"Totaux","Total")</f>
        <v>Total</v>
      </c>
      <c r="O1" s="1592"/>
      <c r="P1" s="870"/>
    </row>
    <row r="2" spans="1:17" ht="33" customHeight="1" x14ac:dyDescent="0.2">
      <c r="B2" s="1717" t="str">
        <f>'Set up ~ Config'!B2:J2</f>
        <v xml:space="preserve">SSC </v>
      </c>
      <c r="C2" s="1717"/>
      <c r="D2" s="1717"/>
      <c r="E2" s="1717"/>
      <c r="F2" s="1717"/>
      <c r="G2" s="1717"/>
      <c r="H2" s="1717"/>
      <c r="I2" s="1717"/>
      <c r="J2" s="1717"/>
      <c r="K2" s="1717"/>
      <c r="M2" s="1594" t="str">
        <f>IF(N7=2,"Revenus","Revenues")</f>
        <v>Revenues</v>
      </c>
      <c r="N2" s="1594"/>
      <c r="O2" s="871">
        <f>K61</f>
        <v>0</v>
      </c>
      <c r="P2" s="870"/>
    </row>
    <row r="3" spans="1:17" ht="36" customHeight="1" x14ac:dyDescent="0.2">
      <c r="B3" s="1881" t="str">
        <f>IF(N7=2,"Année financière  "&amp;CONCATENATE('Set up ~ Config'!G31," - ",('Set up ~ Config'!G31)+1),"Financial Year  "&amp;CONCATENATE('Set up ~ Config'!G31," - ",('Set up ~ Config'!G31)+1))</f>
        <v>Financial Year  2025 - 2026</v>
      </c>
      <c r="C3" s="1881"/>
      <c r="D3" s="1881"/>
      <c r="E3" s="1881"/>
      <c r="F3" s="1881"/>
      <c r="G3" s="1881"/>
      <c r="H3" s="1881"/>
      <c r="I3" s="1881"/>
      <c r="J3" s="1881"/>
      <c r="K3" s="1881"/>
      <c r="M3" s="1594" t="str">
        <f>IF(N7=2,"Dépenses","Expenses")</f>
        <v>Expenses</v>
      </c>
      <c r="N3" s="1594"/>
      <c r="O3" s="871">
        <f>K166</f>
        <v>0</v>
      </c>
      <c r="P3" s="870"/>
    </row>
    <row r="4" spans="1:17" ht="10.5" customHeight="1" x14ac:dyDescent="0.2">
      <c r="B4" s="199"/>
      <c r="F4" s="509"/>
      <c r="G4" s="510"/>
      <c r="H4" s="1878"/>
      <c r="I4" s="1878"/>
      <c r="J4" s="1878"/>
      <c r="L4" s="12"/>
      <c r="M4" s="1874" t="str">
        <f>IF(N7=2,IF(K61=K166,"BUDGET ÉQUILIBRÉ","BUDGET NON ÉQUILIBRÉ"),IF(K61=K166,"BALANCED BUDGET","UNBALANCED BUDGET"))</f>
        <v>BALANCED BUDGET</v>
      </c>
      <c r="N4" s="1874"/>
      <c r="O4" s="1874"/>
      <c r="P4" s="1874"/>
      <c r="Q4" s="12"/>
    </row>
    <row r="5" spans="1:17" ht="15.75" customHeight="1" x14ac:dyDescent="0.2">
      <c r="B5" s="1"/>
      <c r="C5" s="1"/>
      <c r="D5" s="1"/>
      <c r="E5" s="509"/>
      <c r="F5" s="509"/>
      <c r="G5" s="510"/>
      <c r="H5" s="22"/>
      <c r="J5" s="511"/>
      <c r="L5" s="12"/>
      <c r="M5" s="1874"/>
      <c r="N5" s="1874"/>
      <c r="O5" s="1874"/>
      <c r="P5" s="1874"/>
      <c r="Q5" s="12"/>
    </row>
    <row r="6" spans="1:17" ht="21" thickBot="1" x14ac:dyDescent="0.25">
      <c r="A6" s="512"/>
      <c r="B6" s="1879" t="s">
        <v>135</v>
      </c>
      <c r="C6" s="1879"/>
      <c r="D6" s="1248"/>
      <c r="E6" s="513"/>
      <c r="F6" s="937" t="str">
        <f>IF(N7=2,"Date (aaaa-mm-jj):","Date (yyyy-mm-dd):")</f>
        <v>Date (yyyy-mm-dd):</v>
      </c>
      <c r="G6" s="1882"/>
      <c r="H6" s="1882"/>
      <c r="I6" s="1880"/>
      <c r="J6" s="1880"/>
      <c r="L6" s="12"/>
      <c r="M6" s="1875"/>
      <c r="N6" s="1875"/>
      <c r="O6" s="515"/>
      <c r="P6" s="516"/>
      <c r="Q6" s="12"/>
    </row>
    <row r="7" spans="1:17" ht="32.25" thickTop="1" thickBot="1" x14ac:dyDescent="0.25">
      <c r="A7" s="12"/>
      <c r="B7" s="517" t="str">
        <f>IF(N7=2,"Catégories","ACC
Descr")</f>
        <v>ACC
Descr</v>
      </c>
      <c r="C7" s="518" t="s">
        <v>137</v>
      </c>
      <c r="D7" s="518"/>
      <c r="E7" s="518" t="s">
        <v>138</v>
      </c>
      <c r="F7" s="962" t="str">
        <f>IF(N7=2,"Détails (exemples)","Details (examples)")</f>
        <v>Details (examples)</v>
      </c>
      <c r="G7" s="1883" t="str">
        <f>CONCATENATE('Set up ~ Config'!F31," - ",'Set up ~ Config'!G31)</f>
        <v>2024 - 2025</v>
      </c>
      <c r="H7" s="1884"/>
      <c r="I7" s="1884"/>
      <c r="J7" s="1864" t="str">
        <f>CONCATENATE('Set up ~ Config'!G31," - ",'Set up ~ Config'!G31+1)</f>
        <v>2025 - 2026</v>
      </c>
      <c r="K7" s="1865"/>
      <c r="L7" s="12"/>
      <c r="M7" s="12"/>
      <c r="N7" s="504">
        <f>'Set up ~ Config'!L10</f>
        <v>1</v>
      </c>
      <c r="O7" s="23"/>
      <c r="P7" s="12"/>
      <c r="Q7" s="12"/>
    </row>
    <row r="8" spans="1:17" ht="31.5" x14ac:dyDescent="0.2">
      <c r="A8" s="12"/>
      <c r="B8" s="519"/>
      <c r="C8" s="520"/>
      <c r="D8" s="520"/>
      <c r="E8" s="520"/>
      <c r="F8" s="520"/>
      <c r="G8" s="1876" t="str">
        <f>IF(O7=2,"Budget ","Budget")</f>
        <v>Budget</v>
      </c>
      <c r="H8" s="1877"/>
      <c r="I8" s="960" t="str">
        <f>IF(N7=2,"Réel ","Actuals")</f>
        <v>Actuals</v>
      </c>
      <c r="J8" s="961" t="str">
        <f>IF($N$7=2,"Explications","Explanations")</f>
        <v>Explanations</v>
      </c>
      <c r="K8" s="521" t="str">
        <f>IF($N$7=2,"Budget proposé","Proposed Budget")</f>
        <v>Proposed Budget</v>
      </c>
      <c r="L8" s="12"/>
      <c r="M8" s="12"/>
      <c r="N8" s="506"/>
      <c r="O8" s="507">
        <f>IF(O2&lt;&gt;O3,0,1)</f>
        <v>1</v>
      </c>
      <c r="P8" s="12"/>
      <c r="Q8" s="12"/>
    </row>
    <row r="9" spans="1:17" ht="24" customHeight="1" thickBot="1" x14ac:dyDescent="0.25">
      <c r="A9" s="12"/>
      <c r="B9" s="1867" t="str">
        <f>IF(N7=2,"Revenus","Income Items")</f>
        <v>Income Items</v>
      </c>
      <c r="C9" s="1868"/>
      <c r="D9" s="1868"/>
      <c r="E9" s="1868"/>
      <c r="F9" s="1868"/>
      <c r="G9" s="1868"/>
      <c r="H9" s="1868"/>
      <c r="I9" s="1868"/>
      <c r="J9" s="1868"/>
      <c r="K9" s="1869"/>
      <c r="L9" s="12"/>
      <c r="M9" s="12"/>
      <c r="N9" s="506"/>
      <c r="O9" s="12"/>
      <c r="P9" s="12"/>
      <c r="Q9" s="12"/>
    </row>
    <row r="10" spans="1:17" ht="33" customHeight="1" thickTop="1" thickBot="1" x14ac:dyDescent="0.25">
      <c r="A10" s="12"/>
      <c r="B10" s="1588" t="str">
        <f>CONCATENATE('Jrnl Rev'!Q4," - ",'Jrnl Rev'!Q5)</f>
        <v>4000 - Donations, Grants &amp; Other</v>
      </c>
      <c r="C10" s="522">
        <f>'Jrnl Rev'!Q$6</f>
        <v>4010</v>
      </c>
      <c r="D10" s="1589"/>
      <c r="E10" s="523" t="str">
        <f>+'Jrnl Rev'!Q8</f>
        <v>From Official Sponsor(s)</v>
      </c>
      <c r="F10" s="524" t="str">
        <f>'Budget Tracker~Suivi'!F10</f>
        <v>From Squadron's Official Sponsor only</v>
      </c>
      <c r="G10" s="1578"/>
      <c r="H10" s="1203">
        <f>'Budget Tracker~Suivi'!H10</f>
        <v>0</v>
      </c>
      <c r="I10" s="1204">
        <f>'Budget Tracker~Suivi'!I10</f>
        <v>0</v>
      </c>
      <c r="J10" s="1197"/>
      <c r="K10" s="1195"/>
      <c r="L10" s="12"/>
      <c r="M10" s="12"/>
      <c r="N10" s="12"/>
      <c r="O10" s="12"/>
      <c r="P10" s="12"/>
      <c r="Q10" s="12"/>
    </row>
    <row r="11" spans="1:17" ht="33" customHeight="1" thickTop="1" thickBot="1" x14ac:dyDescent="0.25">
      <c r="A11" s="12"/>
      <c r="B11" s="1588"/>
      <c r="C11" s="526">
        <f>'Jrnl Rev'!R$6</f>
        <v>4020</v>
      </c>
      <c r="D11" s="1589"/>
      <c r="E11" s="527" t="str">
        <f>+'Jrnl Rev'!R8</f>
        <v>From Non-Sponsor Veterans Organizations, Auxiliaries</v>
      </c>
      <c r="F11" s="528" t="str">
        <f>'Budget Tracker~Suivi'!F11</f>
        <v>Legion, RCAF Ass</v>
      </c>
      <c r="G11" s="1578"/>
      <c r="H11" s="1205">
        <f>'Budget Tracker~Suivi'!H11</f>
        <v>0</v>
      </c>
      <c r="I11" s="1206">
        <f>'Budget Tracker~Suivi'!I11</f>
        <v>0</v>
      </c>
      <c r="J11" s="1198"/>
      <c r="K11" s="1193"/>
      <c r="L11" s="12"/>
      <c r="M11" s="12"/>
      <c r="N11" s="12"/>
      <c r="O11" s="12"/>
      <c r="P11" s="12"/>
      <c r="Q11" s="12"/>
    </row>
    <row r="12" spans="1:17" ht="33" customHeight="1" thickTop="1" thickBot="1" x14ac:dyDescent="0.25">
      <c r="A12" s="12"/>
      <c r="B12" s="1588"/>
      <c r="C12" s="1590">
        <f>'Jrnl Rev'!S$6</f>
        <v>4030</v>
      </c>
      <c r="D12" s="529"/>
      <c r="E12" s="523" t="str">
        <f>+'Jrnl Rev'!S$8</f>
        <v>From Other Service Clubs (Charities)</v>
      </c>
      <c r="F12" s="530" t="str">
        <f>IF(N7=2,"4030 TOTAL","4030 TOTAL")</f>
        <v>4030 TOTAL</v>
      </c>
      <c r="G12" s="531"/>
      <c r="H12" s="1242">
        <f>SUM(G13:G16)</f>
        <v>0</v>
      </c>
      <c r="I12" s="1226">
        <f>SUM(I13:I16)</f>
        <v>0</v>
      </c>
      <c r="J12" s="1242"/>
      <c r="K12" s="1243">
        <f>SUM(K13:K16)</f>
        <v>0</v>
      </c>
      <c r="L12" s="12"/>
      <c r="M12" s="12"/>
      <c r="N12" s="12"/>
      <c r="O12" s="12"/>
      <c r="P12" s="12"/>
      <c r="Q12" s="12"/>
    </row>
    <row r="13" spans="1:17" ht="33" customHeight="1" thickTop="1" thickBot="1" x14ac:dyDescent="0.25">
      <c r="A13" s="12"/>
      <c r="B13" s="1588"/>
      <c r="C13" s="1590"/>
      <c r="D13" s="1227">
        <f>'Jrnl Rev'!T$6</f>
        <v>4030.1</v>
      </c>
      <c r="E13" s="1228" t="str">
        <f>+'Jrnl Rev'!T$8</f>
        <v>Disponible ~ Available</v>
      </c>
      <c r="F13" s="1229"/>
      <c r="G13" s="1212">
        <f>'Budget Tracker~Suivi'!G13</f>
        <v>0</v>
      </c>
      <c r="H13" s="1591"/>
      <c r="I13" s="1207">
        <f>'Budget Tracker~Suivi'!I13</f>
        <v>0</v>
      </c>
      <c r="J13" s="1199"/>
      <c r="K13" s="1193"/>
      <c r="L13" s="12"/>
      <c r="M13" s="12"/>
      <c r="N13" s="12"/>
      <c r="O13" s="12"/>
      <c r="P13" s="12"/>
      <c r="Q13" s="12"/>
    </row>
    <row r="14" spans="1:17" ht="33" customHeight="1" thickTop="1" thickBot="1" x14ac:dyDescent="0.25">
      <c r="A14" s="12"/>
      <c r="B14" s="1588"/>
      <c r="C14" s="1590"/>
      <c r="D14" s="1227">
        <f>'Jrnl Rev'!U$6</f>
        <v>4030.2</v>
      </c>
      <c r="E14" s="1228" t="str">
        <f>+'Jrnl Rev'!U$8</f>
        <v>Disponible ~ Available</v>
      </c>
      <c r="F14" s="1229"/>
      <c r="G14" s="1212">
        <f>'Budget Tracker~Suivi'!G14</f>
        <v>0</v>
      </c>
      <c r="H14" s="1591"/>
      <c r="I14" s="1207">
        <f>'Budget Tracker~Suivi'!I14</f>
        <v>0</v>
      </c>
      <c r="J14" s="1199"/>
      <c r="K14" s="1193"/>
      <c r="L14" s="12"/>
      <c r="M14" s="12"/>
      <c r="N14" s="12"/>
      <c r="O14" s="12"/>
      <c r="P14" s="12"/>
      <c r="Q14" s="12"/>
    </row>
    <row r="15" spans="1:17" ht="33" customHeight="1" thickTop="1" thickBot="1" x14ac:dyDescent="0.25">
      <c r="A15" s="12"/>
      <c r="B15" s="1588"/>
      <c r="C15" s="1590"/>
      <c r="D15" s="1227">
        <f>'Jrnl Rev'!V$6</f>
        <v>4030.3</v>
      </c>
      <c r="E15" s="1228" t="str">
        <f>+'Jrnl Rev'!V$8</f>
        <v>Disponible ~ Available</v>
      </c>
      <c r="F15" s="1229"/>
      <c r="G15" s="1212">
        <f>'Budget Tracker~Suivi'!G15</f>
        <v>0</v>
      </c>
      <c r="H15" s="1591"/>
      <c r="I15" s="1207">
        <f>'Budget Tracker~Suivi'!I15</f>
        <v>0</v>
      </c>
      <c r="J15" s="1199"/>
      <c r="K15" s="1193"/>
      <c r="L15" s="12"/>
      <c r="M15" s="12"/>
      <c r="N15" s="12"/>
      <c r="O15" s="12"/>
      <c r="P15" s="12"/>
      <c r="Q15" s="12"/>
    </row>
    <row r="16" spans="1:17" ht="33" customHeight="1" thickTop="1" thickBot="1" x14ac:dyDescent="0.25">
      <c r="A16" s="12"/>
      <c r="B16" s="1588"/>
      <c r="C16" s="1590"/>
      <c r="D16" s="1230">
        <f>'Jrnl Rev'!W$6</f>
        <v>4030.4</v>
      </c>
      <c r="E16" s="1231" t="str">
        <f>+'Jrnl Rev'!W$8</f>
        <v>Disponible ~ Available</v>
      </c>
      <c r="F16" s="1232"/>
      <c r="G16" s="1205">
        <f>'Budget Tracker~Suivi'!G16</f>
        <v>0</v>
      </c>
      <c r="H16" s="1591"/>
      <c r="I16" s="1206">
        <f>'Budget Tracker~Suivi'!I16</f>
        <v>0</v>
      </c>
      <c r="J16" s="1198"/>
      <c r="K16" s="1194"/>
      <c r="L16" s="12"/>
      <c r="M16" s="12"/>
      <c r="N16" s="12"/>
      <c r="O16" s="12"/>
      <c r="P16" s="12"/>
      <c r="Q16" s="12"/>
    </row>
    <row r="17" spans="1:17" ht="33" customHeight="1" thickTop="1" thickBot="1" x14ac:dyDescent="0.25">
      <c r="A17" s="12"/>
      <c r="B17" s="1588"/>
      <c r="C17" s="532">
        <f>'Jrnl Rev'!X$6</f>
        <v>4040</v>
      </c>
      <c r="D17" s="1579"/>
      <c r="E17" s="533" t="str">
        <f>+'Jrnl Rev'!X8</f>
        <v>Specific Purpose Non-DND Grants</v>
      </c>
      <c r="F17" s="534" t="str">
        <f>'Budget Tracker~Suivi'!F17</f>
        <v>Special grant for a project</v>
      </c>
      <c r="G17" s="1579"/>
      <c r="H17" s="1208">
        <f>'Budget Tracker~Suivi'!H17</f>
        <v>0</v>
      </c>
      <c r="I17" s="1209">
        <f>'Budget Tracker~Suivi'!I17</f>
        <v>0</v>
      </c>
      <c r="J17" s="1200"/>
      <c r="K17" s="1196"/>
      <c r="L17" s="12"/>
      <c r="M17" s="12"/>
      <c r="N17" s="12"/>
      <c r="O17" s="12"/>
      <c r="P17" s="12"/>
      <c r="Q17" s="12"/>
    </row>
    <row r="18" spans="1:17" ht="33" customHeight="1" thickTop="1" thickBot="1" x14ac:dyDescent="0.25">
      <c r="A18" s="12"/>
      <c r="B18" s="1588"/>
      <c r="C18" s="147">
        <f>'Jrnl Rev'!Y$6</f>
        <v>4050</v>
      </c>
      <c r="D18" s="1579"/>
      <c r="E18" s="501" t="str">
        <f>+'Jrnl Rev'!Y8</f>
        <v>Bequests and Such</v>
      </c>
      <c r="F18" s="534" t="str">
        <f>'Budget Tracker~Suivi'!F18</f>
        <v>Money left in wills</v>
      </c>
      <c r="G18" s="1579"/>
      <c r="H18" s="1208">
        <f>'Budget Tracker~Suivi'!H18</f>
        <v>0</v>
      </c>
      <c r="I18" s="1207">
        <f>'Budget Tracker~Suivi'!I18</f>
        <v>0</v>
      </c>
      <c r="J18" s="1199"/>
      <c r="K18" s="1193"/>
      <c r="L18" s="12"/>
      <c r="M18" s="12"/>
      <c r="N18" s="12"/>
      <c r="O18" s="12"/>
      <c r="P18" s="12"/>
      <c r="Q18" s="12"/>
    </row>
    <row r="19" spans="1:17" ht="33" customHeight="1" thickTop="1" thickBot="1" x14ac:dyDescent="0.25">
      <c r="A19" s="12"/>
      <c r="B19" s="1588"/>
      <c r="C19" s="147">
        <f>'Jrnl Rev'!Z$6</f>
        <v>4060</v>
      </c>
      <c r="D19" s="1579"/>
      <c r="E19" s="501" t="str">
        <f>+'Jrnl Rev'!Z8</f>
        <v>Non-Tax Receipt - Other Donations</v>
      </c>
      <c r="F19" s="534">
        <f>'Budget Tracker~Suivi'!F19</f>
        <v>0</v>
      </c>
      <c r="G19" s="1579"/>
      <c r="H19" s="1208">
        <f>'Budget Tracker~Suivi'!H19</f>
        <v>0</v>
      </c>
      <c r="I19" s="1207">
        <f>'Budget Tracker~Suivi'!I19</f>
        <v>0</v>
      </c>
      <c r="J19" s="1199"/>
      <c r="K19" s="1193"/>
      <c r="L19" s="12"/>
      <c r="M19" s="12"/>
      <c r="N19" s="12"/>
      <c r="O19" s="12"/>
      <c r="P19" s="12"/>
      <c r="Q19" s="12"/>
    </row>
    <row r="20" spans="1:17" ht="33" customHeight="1" thickTop="1" thickBot="1" x14ac:dyDescent="0.25">
      <c r="A20" s="12"/>
      <c r="B20" s="1588"/>
      <c r="C20" s="147">
        <f>'Jrnl Rev'!AA$6</f>
        <v>4070</v>
      </c>
      <c r="D20" s="1579"/>
      <c r="E20" s="501" t="str">
        <f>+'Jrnl Rev'!AA8</f>
        <v>Tax Receipt - Other Donations</v>
      </c>
      <c r="F20" s="534">
        <f>'Budget Tracker~Suivi'!F20</f>
        <v>0</v>
      </c>
      <c r="G20" s="1579"/>
      <c r="H20" s="1208">
        <f>'Budget Tracker~Suivi'!H20</f>
        <v>0</v>
      </c>
      <c r="I20" s="1207">
        <f>'Budget Tracker~Suivi'!I20</f>
        <v>0</v>
      </c>
      <c r="J20" s="1199"/>
      <c r="K20" s="1193"/>
      <c r="L20" s="12"/>
      <c r="M20" s="12"/>
      <c r="N20" s="12"/>
      <c r="O20" s="12"/>
      <c r="P20" s="12"/>
      <c r="Q20" s="12"/>
    </row>
    <row r="21" spans="1:17" ht="33" customHeight="1" thickTop="1" thickBot="1" x14ac:dyDescent="0.25">
      <c r="A21" s="12"/>
      <c r="B21" s="1588"/>
      <c r="C21" s="147">
        <f>'Jrnl Rev'!AB$6</f>
        <v>4080</v>
      </c>
      <c r="D21" s="1579"/>
      <c r="E21" s="501" t="str">
        <f>+'Jrnl Rev'!AB8</f>
        <v>Disponible ~ Available</v>
      </c>
      <c r="F21" s="534">
        <f>'Budget Tracker~Suivi'!F21</f>
        <v>0</v>
      </c>
      <c r="G21" s="1579"/>
      <c r="H21" s="1208">
        <f>'Budget Tracker~Suivi'!H21</f>
        <v>0</v>
      </c>
      <c r="I21" s="1207">
        <f>'Budget Tracker~Suivi'!I21</f>
        <v>0</v>
      </c>
      <c r="J21" s="1199"/>
      <c r="K21" s="1193"/>
      <c r="L21" s="12"/>
      <c r="M21" s="12"/>
      <c r="N21" s="12"/>
      <c r="O21" s="12"/>
      <c r="P21" s="12"/>
      <c r="Q21" s="12"/>
    </row>
    <row r="22" spans="1:17" ht="33" customHeight="1" thickTop="1" thickBot="1" x14ac:dyDescent="0.25">
      <c r="A22" s="12"/>
      <c r="B22" s="1588"/>
      <c r="C22" s="536">
        <f>'Jrnl Rev'!AC$6</f>
        <v>4090</v>
      </c>
      <c r="D22" s="1579"/>
      <c r="E22" s="537" t="str">
        <f>+'Jrnl Rev'!AC8</f>
        <v>Disponible ~ Available</v>
      </c>
      <c r="F22" s="534">
        <f>'Budget Tracker~Suivi'!F22</f>
        <v>0</v>
      </c>
      <c r="G22" s="1579"/>
      <c r="H22" s="1210">
        <f>'Budget Tracker~Suivi'!H22</f>
        <v>0</v>
      </c>
      <c r="I22" s="1211">
        <f>'Budget Tracker~Suivi'!I22</f>
        <v>0</v>
      </c>
      <c r="J22" s="1201"/>
      <c r="K22" s="1194"/>
      <c r="L22" s="12"/>
      <c r="M22" s="12"/>
      <c r="N22" s="12"/>
      <c r="O22" s="12"/>
      <c r="P22" s="12"/>
      <c r="Q22" s="12"/>
    </row>
    <row r="23" spans="1:17" ht="33" customHeight="1" thickTop="1" thickBot="1" x14ac:dyDescent="0.25">
      <c r="A23" s="12"/>
      <c r="B23" s="1588" t="str">
        <f>CONCATENATE('Jrnl Rev'!AD4," - ",'Jrnl Rev'!AD5)</f>
        <v>4200 - Gaming &amp; Lotteries Fundraising</v>
      </c>
      <c r="C23" s="522">
        <f>'Jrnl Rev'!AD$6</f>
        <v>4210</v>
      </c>
      <c r="D23" s="1589"/>
      <c r="E23" s="523" t="str">
        <f>+'Jrnl Rev'!AD8</f>
        <v>SQN 
Lottery/Raffle</v>
      </c>
      <c r="F23" s="524">
        <f>'Budget Tracker~Suivi'!F23</f>
        <v>0</v>
      </c>
      <c r="G23" s="1589"/>
      <c r="H23" s="1203">
        <f>'Budget Tracker~Suivi'!H23</f>
        <v>0</v>
      </c>
      <c r="I23" s="1204">
        <f>'Budget Tracker~Suivi'!I23</f>
        <v>0</v>
      </c>
      <c r="J23" s="1197"/>
      <c r="K23" s="1195"/>
      <c r="L23" s="12"/>
      <c r="M23" s="12"/>
      <c r="N23" s="12"/>
      <c r="O23" s="12"/>
      <c r="P23" s="12"/>
      <c r="Q23" s="12"/>
    </row>
    <row r="24" spans="1:17" ht="33" customHeight="1" thickTop="1" thickBot="1" x14ac:dyDescent="0.25">
      <c r="A24" s="539"/>
      <c r="B24" s="1588"/>
      <c r="C24" s="147">
        <f>'Jrnl Rev'!AE$6</f>
        <v>4220</v>
      </c>
      <c r="D24" s="1589"/>
      <c r="E24" s="501" t="str">
        <f>+'Jrnl Rev'!AE8</f>
        <v>Bingo Income</v>
      </c>
      <c r="F24" s="540">
        <f>'Budget Tracker~Suivi'!F24</f>
        <v>0</v>
      </c>
      <c r="G24" s="1589"/>
      <c r="H24" s="1208">
        <f>'Budget Tracker~Suivi'!H24</f>
        <v>0</v>
      </c>
      <c r="I24" s="1207">
        <f>'Budget Tracker~Suivi'!I24</f>
        <v>0</v>
      </c>
      <c r="J24" s="1199"/>
      <c r="K24" s="1193"/>
      <c r="L24" s="12"/>
      <c r="M24" s="12"/>
      <c r="N24" s="12"/>
      <c r="O24" s="12"/>
      <c r="P24" s="12"/>
      <c r="Q24" s="12"/>
    </row>
    <row r="25" spans="1:17" ht="33" customHeight="1" thickTop="1" thickBot="1" x14ac:dyDescent="0.25">
      <c r="A25" s="539"/>
      <c r="B25" s="1588"/>
      <c r="C25" s="147">
        <f>'Jrnl Rev'!AF$6</f>
        <v>4230</v>
      </c>
      <c r="D25" s="1589"/>
      <c r="E25" s="501" t="str">
        <f>+'Jrnl Rev'!AF8</f>
        <v>Disponible ~ Available</v>
      </c>
      <c r="F25" s="540">
        <f>'Budget Tracker~Suivi'!F25</f>
        <v>0</v>
      </c>
      <c r="G25" s="1589"/>
      <c r="H25" s="1208">
        <f>'Budget Tracker~Suivi'!H25</f>
        <v>0</v>
      </c>
      <c r="I25" s="1207">
        <f>'Budget Tracker~Suivi'!I25</f>
        <v>0</v>
      </c>
      <c r="J25" s="1199"/>
      <c r="K25" s="1193"/>
      <c r="L25" s="12"/>
      <c r="M25" s="12"/>
      <c r="N25" s="12"/>
      <c r="O25" s="12"/>
      <c r="P25" s="12"/>
      <c r="Q25" s="12"/>
    </row>
    <row r="26" spans="1:17" ht="33" customHeight="1" thickTop="1" thickBot="1" x14ac:dyDescent="0.25">
      <c r="A26" s="539"/>
      <c r="B26" s="1588"/>
      <c r="C26" s="147">
        <f>'Jrnl Rev'!AG$6</f>
        <v>4240</v>
      </c>
      <c r="D26" s="1589"/>
      <c r="E26" s="501" t="str">
        <f>+'Jrnl Rev'!AG8</f>
        <v>Disponible ~ Available</v>
      </c>
      <c r="F26" s="540">
        <f>'Budget Tracker~Suivi'!F26</f>
        <v>0</v>
      </c>
      <c r="G26" s="1589"/>
      <c r="H26" s="1208">
        <f>'Budget Tracker~Suivi'!H26</f>
        <v>0</v>
      </c>
      <c r="I26" s="1207">
        <f>'Budget Tracker~Suivi'!I26</f>
        <v>0</v>
      </c>
      <c r="J26" s="1199"/>
      <c r="K26" s="1193"/>
      <c r="L26" s="12"/>
      <c r="M26" s="12"/>
      <c r="N26" s="12"/>
      <c r="O26" s="12"/>
      <c r="P26" s="12"/>
      <c r="Q26" s="12"/>
    </row>
    <row r="27" spans="1:17" ht="33" customHeight="1" thickTop="1" thickBot="1" x14ac:dyDescent="0.25">
      <c r="A27" s="539"/>
      <c r="B27" s="1588"/>
      <c r="C27" s="147">
        <f>'Jrnl Rev'!AH$6</f>
        <v>4250</v>
      </c>
      <c r="D27" s="1589"/>
      <c r="E27" s="501" t="str">
        <f>+'Jrnl Rev'!AH8</f>
        <v>Disponible ~ Available</v>
      </c>
      <c r="F27" s="540">
        <f>'Budget Tracker~Suivi'!F27</f>
        <v>0</v>
      </c>
      <c r="G27" s="1589"/>
      <c r="H27" s="1208">
        <f>'Budget Tracker~Suivi'!H27</f>
        <v>0</v>
      </c>
      <c r="I27" s="1207">
        <f>'Budget Tracker~Suivi'!I27</f>
        <v>0</v>
      </c>
      <c r="J27" s="1199"/>
      <c r="K27" s="1193"/>
      <c r="L27" s="12"/>
      <c r="M27" s="12"/>
      <c r="N27" s="12"/>
      <c r="O27" s="12"/>
      <c r="P27" s="12"/>
      <c r="Q27" s="12"/>
    </row>
    <row r="28" spans="1:17" ht="33" customHeight="1" thickTop="1" thickBot="1" x14ac:dyDescent="0.25">
      <c r="A28" s="539"/>
      <c r="B28" s="1588"/>
      <c r="C28" s="147">
        <f>'Jrnl Rev'!AI$6</f>
        <v>4260</v>
      </c>
      <c r="D28" s="1589"/>
      <c r="E28" s="501" t="str">
        <f>+'Jrnl Rev'!AI8</f>
        <v>Disponible ~ Available</v>
      </c>
      <c r="F28" s="540">
        <f>'Budget Tracker~Suivi'!F28</f>
        <v>0</v>
      </c>
      <c r="G28" s="1589"/>
      <c r="H28" s="1208">
        <f>'Budget Tracker~Suivi'!H28</f>
        <v>0</v>
      </c>
      <c r="I28" s="1207">
        <f>'Budget Tracker~Suivi'!I28</f>
        <v>0</v>
      </c>
      <c r="J28" s="1199"/>
      <c r="K28" s="1193"/>
      <c r="L28" s="12"/>
      <c r="M28" s="12"/>
      <c r="N28" s="12"/>
      <c r="O28" s="12"/>
      <c r="P28" s="12"/>
      <c r="Q28" s="12"/>
    </row>
    <row r="29" spans="1:17" ht="33" customHeight="1" thickTop="1" thickBot="1" x14ac:dyDescent="0.25">
      <c r="A29" s="539"/>
      <c r="B29" s="1588"/>
      <c r="C29" s="147">
        <f>'Jrnl Rev'!AJ$6</f>
        <v>4270</v>
      </c>
      <c r="D29" s="1589"/>
      <c r="E29" s="501" t="str">
        <f>+'Jrnl Rev'!AJ8</f>
        <v>Disponible ~ Available</v>
      </c>
      <c r="F29" s="540">
        <f>'Budget Tracker~Suivi'!F29</f>
        <v>0</v>
      </c>
      <c r="G29" s="1589"/>
      <c r="H29" s="1208">
        <f>'Budget Tracker~Suivi'!H29</f>
        <v>0</v>
      </c>
      <c r="I29" s="1207">
        <f>'Budget Tracker~Suivi'!I29</f>
        <v>0</v>
      </c>
      <c r="J29" s="1199"/>
      <c r="K29" s="1193"/>
      <c r="L29" s="12"/>
      <c r="M29" s="12"/>
      <c r="N29" s="12"/>
      <c r="O29" s="12"/>
      <c r="P29" s="12"/>
      <c r="Q29" s="12"/>
    </row>
    <row r="30" spans="1:17" ht="33" customHeight="1" thickTop="1" thickBot="1" x14ac:dyDescent="0.25">
      <c r="A30" s="539"/>
      <c r="B30" s="1588"/>
      <c r="C30" s="147">
        <f>'Jrnl Rev'!AK$6</f>
        <v>4280</v>
      </c>
      <c r="D30" s="1589"/>
      <c r="E30" s="501" t="str">
        <f>+'Jrnl Rev'!AK8</f>
        <v>Disponible ~ Available</v>
      </c>
      <c r="F30" s="540">
        <f>'Budget Tracker~Suivi'!F30</f>
        <v>0</v>
      </c>
      <c r="G30" s="1589"/>
      <c r="H30" s="1208">
        <f>'Budget Tracker~Suivi'!H30</f>
        <v>0</v>
      </c>
      <c r="I30" s="1207">
        <f>'Budget Tracker~Suivi'!I30</f>
        <v>0</v>
      </c>
      <c r="J30" s="1199"/>
      <c r="K30" s="1193"/>
      <c r="L30" s="12"/>
      <c r="M30" s="12"/>
      <c r="N30" s="12"/>
      <c r="O30" s="12"/>
      <c r="P30" s="12"/>
      <c r="Q30" s="12"/>
    </row>
    <row r="31" spans="1:17" ht="33" customHeight="1" thickTop="1" thickBot="1" x14ac:dyDescent="0.25">
      <c r="A31" s="539"/>
      <c r="B31" s="1588"/>
      <c r="C31" s="536">
        <f>'Jrnl Rev'!AL$6</f>
        <v>4290</v>
      </c>
      <c r="D31" s="1589"/>
      <c r="E31" s="537" t="str">
        <f>+'Jrnl Rev'!AL8</f>
        <v>Disponible ~ Available</v>
      </c>
      <c r="F31" s="538">
        <f>'Budget Tracker~Suivi'!F31</f>
        <v>0</v>
      </c>
      <c r="G31" s="1589"/>
      <c r="H31" s="1210">
        <f>'Budget Tracker~Suivi'!H31</f>
        <v>0</v>
      </c>
      <c r="I31" s="1211">
        <f>'Budget Tracker~Suivi'!I31</f>
        <v>0</v>
      </c>
      <c r="J31" s="1201"/>
      <c r="K31" s="1194"/>
      <c r="L31" s="12"/>
      <c r="M31" s="12"/>
      <c r="N31" s="12"/>
      <c r="O31" s="12"/>
      <c r="P31" s="12"/>
      <c r="Q31" s="12"/>
    </row>
    <row r="32" spans="1:17" ht="33" customHeight="1" thickTop="1" thickBot="1" x14ac:dyDescent="0.25">
      <c r="A32" s="12"/>
      <c r="B32" s="1588" t="str">
        <f>CONCATENATE('Jrnl Rev'!AM4," - ",'Jrnl Rev'!AM5)</f>
        <v>4400 - Other Fundraising</v>
      </c>
      <c r="C32" s="522">
        <f>'Jrnl Rev'!AM$6</f>
        <v>4410</v>
      </c>
      <c r="D32" s="1589"/>
      <c r="E32" s="523" t="str">
        <f>+'Jrnl Rev'!AM8</f>
        <v>Tagging
Revenue
Fall</v>
      </c>
      <c r="F32" s="524">
        <f>'Budget Tracker~Suivi'!F32</f>
        <v>0</v>
      </c>
      <c r="G32" s="1589"/>
      <c r="H32" s="1203">
        <f>'Budget Tracker~Suivi'!H32</f>
        <v>0</v>
      </c>
      <c r="I32" s="1204">
        <f>'Budget Tracker~Suivi'!I32</f>
        <v>0</v>
      </c>
      <c r="J32" s="1197"/>
      <c r="K32" s="1195"/>
      <c r="L32" s="12"/>
      <c r="M32" s="12"/>
      <c r="N32" s="12"/>
      <c r="O32" s="12"/>
      <c r="P32" s="12"/>
      <c r="Q32" s="12"/>
    </row>
    <row r="33" spans="1:17" ht="33" customHeight="1" thickTop="1" thickBot="1" x14ac:dyDescent="0.25">
      <c r="A33" s="12"/>
      <c r="B33" s="1588"/>
      <c r="C33" s="147">
        <f>'Jrnl Rev'!AN$6</f>
        <v>4420</v>
      </c>
      <c r="D33" s="1589"/>
      <c r="E33" s="501" t="str">
        <f>+'Jrnl Rev'!AN8</f>
        <v>Tagging
Revenue
Spring</v>
      </c>
      <c r="F33" s="540">
        <f>'Budget Tracker~Suivi'!F33</f>
        <v>0</v>
      </c>
      <c r="G33" s="1589"/>
      <c r="H33" s="1208">
        <f>'Budget Tracker~Suivi'!H33</f>
        <v>0</v>
      </c>
      <c r="I33" s="1207">
        <f>'Budget Tracker~Suivi'!I33</f>
        <v>0</v>
      </c>
      <c r="J33" s="1199"/>
      <c r="K33" s="1193"/>
      <c r="L33" s="12"/>
      <c r="M33" s="12"/>
      <c r="N33" s="12"/>
      <c r="O33" s="12"/>
      <c r="P33" s="12"/>
      <c r="Q33" s="12"/>
    </row>
    <row r="34" spans="1:17" ht="33" customHeight="1" thickTop="1" thickBot="1" x14ac:dyDescent="0.25">
      <c r="A34" s="12"/>
      <c r="B34" s="1588"/>
      <c r="C34" s="147">
        <f>'Jrnl Rev'!AO$6</f>
        <v>4430</v>
      </c>
      <c r="D34" s="1589"/>
      <c r="E34" s="501" t="str">
        <f>+'Jrnl Rev'!AO8</f>
        <v>Annual
Banquet
Ticket Sales
&amp; Such</v>
      </c>
      <c r="F34" s="540">
        <f>'Budget Tracker~Suivi'!F34</f>
        <v>0</v>
      </c>
      <c r="G34" s="1589"/>
      <c r="H34" s="1208">
        <f>'Budget Tracker~Suivi'!H34</f>
        <v>0</v>
      </c>
      <c r="I34" s="1207">
        <f>'Budget Tracker~Suivi'!I34</f>
        <v>0</v>
      </c>
      <c r="J34" s="1199"/>
      <c r="K34" s="1193"/>
      <c r="L34" s="12"/>
      <c r="M34" s="12"/>
      <c r="N34" s="12"/>
      <c r="O34" s="12"/>
      <c r="P34" s="12"/>
      <c r="Q34" s="12"/>
    </row>
    <row r="35" spans="1:17" ht="33" customHeight="1" thickTop="1" thickBot="1" x14ac:dyDescent="0.25">
      <c r="A35" s="12"/>
      <c r="B35" s="1588"/>
      <c r="C35" s="147">
        <f>'Jrnl Rev'!AP$6</f>
        <v>4440</v>
      </c>
      <c r="D35" s="1589"/>
      <c r="E35" s="501" t="str">
        <f>+'Jrnl Rev'!AP8</f>
        <v>Bottle Drive
Revenue</v>
      </c>
      <c r="F35" s="540">
        <f>'Budget Tracker~Suivi'!F35</f>
        <v>0</v>
      </c>
      <c r="G35" s="1589"/>
      <c r="H35" s="1208">
        <f>'Budget Tracker~Suivi'!H35</f>
        <v>0</v>
      </c>
      <c r="I35" s="1207">
        <f>'Budget Tracker~Suivi'!I35</f>
        <v>0</v>
      </c>
      <c r="J35" s="1199"/>
      <c r="K35" s="1193"/>
      <c r="L35" s="12"/>
      <c r="M35" s="12"/>
      <c r="N35" s="12"/>
      <c r="O35" s="12"/>
      <c r="P35" s="12"/>
      <c r="Q35" s="12"/>
    </row>
    <row r="36" spans="1:17" ht="33" customHeight="1" thickTop="1" thickBot="1" x14ac:dyDescent="0.25">
      <c r="A36" s="12"/>
      <c r="B36" s="1588"/>
      <c r="C36" s="147">
        <f>'Jrnl Rev'!AQ$6</f>
        <v>4450</v>
      </c>
      <c r="D36" s="1589"/>
      <c r="E36" s="501" t="str">
        <f>+'Jrnl Rev'!AQ8</f>
        <v>Disponible ~ Available</v>
      </c>
      <c r="F36" s="540">
        <f>'Budget Tracker~Suivi'!F36</f>
        <v>0</v>
      </c>
      <c r="G36" s="1589"/>
      <c r="H36" s="1208">
        <f>'Budget Tracker~Suivi'!H36</f>
        <v>0</v>
      </c>
      <c r="I36" s="1207">
        <f>'Budget Tracker~Suivi'!I36</f>
        <v>0</v>
      </c>
      <c r="J36" s="1199"/>
      <c r="K36" s="1193"/>
      <c r="L36" s="12"/>
      <c r="M36" s="12"/>
      <c r="N36" s="12"/>
      <c r="O36" s="12"/>
      <c r="P36" s="12"/>
      <c r="Q36" s="12"/>
    </row>
    <row r="37" spans="1:17" ht="33" customHeight="1" thickTop="1" thickBot="1" x14ac:dyDescent="0.25">
      <c r="A37" s="12"/>
      <c r="B37" s="1588"/>
      <c r="C37" s="147">
        <f>'Jrnl Rev'!AR$6</f>
        <v>4460</v>
      </c>
      <c r="D37" s="1589"/>
      <c r="E37" s="501" t="str">
        <f>+'Jrnl Rev'!AR8</f>
        <v>Disponible ~ Available</v>
      </c>
      <c r="F37" s="540">
        <f>'Budget Tracker~Suivi'!F37</f>
        <v>0</v>
      </c>
      <c r="G37" s="1589"/>
      <c r="H37" s="1208">
        <f>'Budget Tracker~Suivi'!H37</f>
        <v>0</v>
      </c>
      <c r="I37" s="1207">
        <f>'Budget Tracker~Suivi'!I37</f>
        <v>0</v>
      </c>
      <c r="J37" s="1199"/>
      <c r="K37" s="1193"/>
      <c r="L37" s="12"/>
      <c r="M37" s="12"/>
      <c r="N37" s="12"/>
      <c r="O37" s="12"/>
      <c r="P37" s="12"/>
      <c r="Q37" s="12"/>
    </row>
    <row r="38" spans="1:17" ht="33" customHeight="1" thickTop="1" thickBot="1" x14ac:dyDescent="0.25">
      <c r="A38" s="12"/>
      <c r="B38" s="1588"/>
      <c r="C38" s="147">
        <f>'Jrnl Rev'!AS$6</f>
        <v>4470</v>
      </c>
      <c r="D38" s="1589"/>
      <c r="E38" s="501" t="str">
        <f>+'Jrnl Rev'!AS$8</f>
        <v>Disponible ~ Available</v>
      </c>
      <c r="F38" s="540">
        <f>'Budget Tracker~Suivi'!F38</f>
        <v>0</v>
      </c>
      <c r="G38" s="1589"/>
      <c r="H38" s="1208">
        <f>'Budget Tracker~Suivi'!H38</f>
        <v>0</v>
      </c>
      <c r="I38" s="1207">
        <f>'Budget Tracker~Suivi'!I38</f>
        <v>0</v>
      </c>
      <c r="J38" s="1199"/>
      <c r="K38" s="1193"/>
      <c r="L38" s="12"/>
      <c r="M38" s="12"/>
      <c r="N38" s="12"/>
      <c r="O38" s="12"/>
      <c r="P38" s="12"/>
      <c r="Q38" s="12"/>
    </row>
    <row r="39" spans="1:17" ht="33" customHeight="1" thickTop="1" thickBot="1" x14ac:dyDescent="0.25">
      <c r="A39" s="12"/>
      <c r="B39" s="1588"/>
      <c r="C39" s="147">
        <f>'Jrnl Rev'!AT$6</f>
        <v>4480</v>
      </c>
      <c r="D39" s="1589"/>
      <c r="E39" s="501" t="str">
        <f>+'Jrnl Rev'!AT$8</f>
        <v>Disponible ~ Available</v>
      </c>
      <c r="F39" s="540">
        <f>'Budget Tracker~Suivi'!F39</f>
        <v>0</v>
      </c>
      <c r="G39" s="1589"/>
      <c r="H39" s="1208">
        <f>'Budget Tracker~Suivi'!H39</f>
        <v>0</v>
      </c>
      <c r="I39" s="1207">
        <f>'Budget Tracker~Suivi'!I39</f>
        <v>0</v>
      </c>
      <c r="J39" s="1199"/>
      <c r="K39" s="1193"/>
      <c r="L39" s="12"/>
      <c r="M39" s="12"/>
      <c r="N39" s="12"/>
      <c r="O39" s="12"/>
      <c r="P39" s="12"/>
      <c r="Q39" s="12"/>
    </row>
    <row r="40" spans="1:17" ht="33" customHeight="1" thickTop="1" thickBot="1" x14ac:dyDescent="0.25">
      <c r="A40" s="12"/>
      <c r="B40" s="1588"/>
      <c r="C40" s="541">
        <f>'Jrnl Rev'!AU$6</f>
        <v>4490</v>
      </c>
      <c r="D40" s="1589"/>
      <c r="E40" s="542" t="str">
        <f>+'Jrnl Rev'!AU$8</f>
        <v>Disponible ~ Available</v>
      </c>
      <c r="F40" s="538">
        <f>'Budget Tracker~Suivi'!F40</f>
        <v>0</v>
      </c>
      <c r="G40" s="1589"/>
      <c r="H40" s="1210">
        <f>'Budget Tracker~Suivi'!H40</f>
        <v>0</v>
      </c>
      <c r="I40" s="1211">
        <f>'Budget Tracker~Suivi'!I40</f>
        <v>0</v>
      </c>
      <c r="J40" s="1201"/>
      <c r="K40" s="1194"/>
      <c r="L40" s="12"/>
      <c r="M40" s="12"/>
      <c r="N40" s="12"/>
      <c r="O40" s="12"/>
      <c r="P40" s="12"/>
      <c r="Q40" s="12"/>
    </row>
    <row r="41" spans="1:17" ht="33" customHeight="1" thickTop="1" thickBot="1" x14ac:dyDescent="0.25">
      <c r="A41" s="12"/>
      <c r="B41" s="1588" t="str">
        <f>CONCATENATE('Jrnl Rev'!AV4," - ",'Jrnl Rev'!AV5)</f>
        <v>4600 - Misc Revenues (Other than Gov't)</v>
      </c>
      <c r="C41" s="522">
        <f>'Jrnl Rev'!AV$6</f>
        <v>4610</v>
      </c>
      <c r="D41" s="1589"/>
      <c r="E41" s="523" t="str">
        <f>+'Jrnl Rev'!AV8</f>
        <v>Money Collected for Activities</v>
      </c>
      <c r="F41" s="524" t="str">
        <f>'Budget Tracker~Suivi'!F41</f>
        <v>Received from cadets for a specific activity</v>
      </c>
      <c r="G41" s="1589"/>
      <c r="H41" s="1203">
        <f>'Budget Tracker~Suivi'!H41</f>
        <v>0</v>
      </c>
      <c r="I41" s="1204">
        <f>'Budget Tracker~Suivi'!I41</f>
        <v>0</v>
      </c>
      <c r="J41" s="1197"/>
      <c r="K41" s="1195"/>
      <c r="L41" s="12"/>
      <c r="M41" s="12"/>
      <c r="N41" s="12"/>
      <c r="O41" s="12"/>
      <c r="P41" s="12"/>
      <c r="Q41" s="12"/>
    </row>
    <row r="42" spans="1:17" ht="33" customHeight="1" thickTop="1" thickBot="1" x14ac:dyDescent="0.25">
      <c r="A42" s="12"/>
      <c r="B42" s="1588"/>
      <c r="C42" s="147">
        <f>'Jrnl Rev'!AW$6</f>
        <v>4620</v>
      </c>
      <c r="D42" s="1589"/>
      <c r="E42" s="501" t="str">
        <f>+'Jrnl Rev'!AW8</f>
        <v>Refunds</v>
      </c>
      <c r="F42" s="540" t="str">
        <f>'Budget Tracker~Suivi'!F42</f>
        <v>If the reimbursement is not related to a specific activity</v>
      </c>
      <c r="G42" s="1589"/>
      <c r="H42" s="1208">
        <f>'Budget Tracker~Suivi'!H42</f>
        <v>0</v>
      </c>
      <c r="I42" s="1207">
        <f>'Budget Tracker~Suivi'!I42</f>
        <v>0</v>
      </c>
      <c r="J42" s="1199"/>
      <c r="K42" s="1193"/>
      <c r="L42" s="12"/>
      <c r="M42" s="12"/>
      <c r="N42" s="12"/>
      <c r="O42" s="12"/>
      <c r="P42" s="12"/>
      <c r="Q42" s="12"/>
    </row>
    <row r="43" spans="1:17" ht="33" customHeight="1" thickTop="1" thickBot="1" x14ac:dyDescent="0.25">
      <c r="A43" s="12"/>
      <c r="B43" s="1588"/>
      <c r="C43" s="147">
        <f>'Jrnl Rev'!AX$6</f>
        <v>4630</v>
      </c>
      <c r="D43" s="1589"/>
      <c r="E43" s="501" t="str">
        <f>+'Jrnl Rev'!AX8</f>
        <v>Canteen Proceeds</v>
      </c>
      <c r="F43" s="540">
        <f>'Budget Tracker~Suivi'!F43</f>
        <v>0</v>
      </c>
      <c r="G43" s="1589"/>
      <c r="H43" s="1208">
        <f>'Budget Tracker~Suivi'!H43</f>
        <v>0</v>
      </c>
      <c r="I43" s="1207">
        <f>'Budget Tracker~Suivi'!I43</f>
        <v>0</v>
      </c>
      <c r="J43" s="1199"/>
      <c r="K43" s="1193"/>
      <c r="L43" s="12"/>
      <c r="M43" s="12"/>
      <c r="N43" s="12"/>
      <c r="O43" s="12"/>
      <c r="P43" s="12"/>
      <c r="Q43" s="12"/>
    </row>
    <row r="44" spans="1:17" ht="33" customHeight="1" thickTop="1" thickBot="1" x14ac:dyDescent="0.25">
      <c r="A44" s="12"/>
      <c r="B44" s="1588"/>
      <c r="C44" s="147">
        <f>'Jrnl Rev'!AY$6</f>
        <v>4640</v>
      </c>
      <c r="D44" s="1589"/>
      <c r="E44" s="501" t="str">
        <f>+'Jrnl Rev'!AY8</f>
        <v>Bank &amp; Investments Interest/Income</v>
      </c>
      <c r="F44" s="540">
        <f>'Budget Tracker~Suivi'!F44</f>
        <v>0</v>
      </c>
      <c r="G44" s="1589"/>
      <c r="H44" s="1208">
        <f>'Budget Tracker~Suivi'!H44</f>
        <v>0</v>
      </c>
      <c r="I44" s="1207">
        <f>'Budget Tracker~Suivi'!I44</f>
        <v>0</v>
      </c>
      <c r="J44" s="1199"/>
      <c r="K44" s="1193"/>
      <c r="L44" s="12"/>
      <c r="M44" s="12"/>
      <c r="N44" s="12"/>
      <c r="O44" s="12"/>
      <c r="P44" s="12"/>
      <c r="Q44" s="12"/>
    </row>
    <row r="45" spans="1:17" ht="33" customHeight="1" thickTop="1" thickBot="1" x14ac:dyDescent="0.25">
      <c r="A45" s="12"/>
      <c r="B45" s="1588"/>
      <c r="C45" s="147">
        <f>'Jrnl Rev'!AZ$6</f>
        <v>4650</v>
      </c>
      <c r="D45" s="1589"/>
      <c r="E45" s="501" t="str">
        <f>+'Jrnl Rev'!AZ8</f>
        <v>Misc Revenue</v>
      </c>
      <c r="F45" s="540">
        <f>'Budget Tracker~Suivi'!F45</f>
        <v>0</v>
      </c>
      <c r="G45" s="1589"/>
      <c r="H45" s="1208">
        <f>'Budget Tracker~Suivi'!H45</f>
        <v>0</v>
      </c>
      <c r="I45" s="1207">
        <f>'Budget Tracker~Suivi'!I45</f>
        <v>0</v>
      </c>
      <c r="J45" s="1199"/>
      <c r="K45" s="1193"/>
      <c r="L45" s="12"/>
      <c r="M45" s="12"/>
      <c r="N45" s="12"/>
      <c r="O45" s="12"/>
      <c r="P45" s="12"/>
      <c r="Q45" s="12"/>
    </row>
    <row r="46" spans="1:17" ht="33" customHeight="1" thickTop="1" thickBot="1" x14ac:dyDescent="0.25">
      <c r="A46" s="12"/>
      <c r="B46" s="1588"/>
      <c r="C46" s="147">
        <f>'Jrnl Rev'!BA$6</f>
        <v>4660</v>
      </c>
      <c r="D46" s="1589"/>
      <c r="E46" s="501" t="str">
        <f>+'Jrnl Rev'!BA8</f>
        <v>Sale of 
Sqn
Logo Items</v>
      </c>
      <c r="F46" s="540">
        <f>'Budget Tracker~Suivi'!F46</f>
        <v>0</v>
      </c>
      <c r="G46" s="1589"/>
      <c r="H46" s="1208">
        <f>'Budget Tracker~Suivi'!H46</f>
        <v>0</v>
      </c>
      <c r="I46" s="1207">
        <f>'Budget Tracker~Suivi'!I46</f>
        <v>0</v>
      </c>
      <c r="J46" s="1199"/>
      <c r="K46" s="1193"/>
      <c r="L46" s="12"/>
      <c r="M46" s="12"/>
      <c r="N46" s="12"/>
      <c r="O46" s="12"/>
      <c r="P46" s="12"/>
      <c r="Q46" s="12"/>
    </row>
    <row r="47" spans="1:17" ht="33" customHeight="1" thickTop="1" thickBot="1" x14ac:dyDescent="0.25">
      <c r="A47" s="12"/>
      <c r="B47" s="1588"/>
      <c r="C47" s="147">
        <f>'Jrnl Rev'!BB$6</f>
        <v>4670</v>
      </c>
      <c r="D47" s="1589"/>
      <c r="E47" s="501" t="str">
        <f>+'Jrnl Rev'!BB8</f>
        <v>Assessments</v>
      </c>
      <c r="F47" s="540">
        <f>'Budget Tracker~Suivi'!F47</f>
        <v>0</v>
      </c>
      <c r="G47" s="1589"/>
      <c r="H47" s="1208">
        <f>'Budget Tracker~Suivi'!H47</f>
        <v>0</v>
      </c>
      <c r="I47" s="1207">
        <f>'Budget Tracker~Suivi'!I47</f>
        <v>0</v>
      </c>
      <c r="J47" s="1199"/>
      <c r="K47" s="1193"/>
      <c r="L47" s="12"/>
      <c r="M47" s="12"/>
      <c r="N47" s="12"/>
      <c r="O47" s="12"/>
      <c r="P47" s="12"/>
      <c r="Q47" s="12"/>
    </row>
    <row r="48" spans="1:17" ht="33" customHeight="1" thickTop="1" thickBot="1" x14ac:dyDescent="0.25">
      <c r="A48" s="12"/>
      <c r="B48" s="1588"/>
      <c r="C48" s="147">
        <f>'Jrnl Rev'!BC$6</f>
        <v>4680</v>
      </c>
      <c r="D48" s="1589"/>
      <c r="E48" s="501" t="str">
        <f>+'Jrnl Rev'!BC8</f>
        <v>Rental
Revenue</v>
      </c>
      <c r="F48" s="540">
        <f>'Budget Tracker~Suivi'!F48</f>
        <v>0</v>
      </c>
      <c r="G48" s="1589"/>
      <c r="H48" s="1208">
        <f>'Budget Tracker~Suivi'!H48</f>
        <v>0</v>
      </c>
      <c r="I48" s="1207">
        <f>'Budget Tracker~Suivi'!I48</f>
        <v>0</v>
      </c>
      <c r="J48" s="1199"/>
      <c r="K48" s="1193"/>
      <c r="L48" s="12"/>
      <c r="M48" s="12"/>
      <c r="N48" s="12"/>
      <c r="O48" s="12"/>
      <c r="P48" s="12"/>
      <c r="Q48" s="12"/>
    </row>
    <row r="49" spans="1:17" ht="33" customHeight="1" thickTop="1" thickBot="1" x14ac:dyDescent="0.25">
      <c r="A49" s="12"/>
      <c r="B49" s="1588"/>
      <c r="C49" s="541">
        <f>'Jrnl Rev'!BD$6</f>
        <v>4690</v>
      </c>
      <c r="D49" s="1589"/>
      <c r="E49" s="542" t="str">
        <f>+'Jrnl Rev'!BD8</f>
        <v>Disponible ~ Available</v>
      </c>
      <c r="F49" s="538">
        <f>'Budget Tracker~Suivi'!F49</f>
        <v>0</v>
      </c>
      <c r="G49" s="1589"/>
      <c r="H49" s="1210">
        <f>'Budget Tracker~Suivi'!H49</f>
        <v>0</v>
      </c>
      <c r="I49" s="1211">
        <f>'Budget Tracker~Suivi'!I49</f>
        <v>0</v>
      </c>
      <c r="J49" s="1201"/>
      <c r="K49" s="1194"/>
      <c r="L49" s="12"/>
      <c r="M49" s="12"/>
      <c r="N49" s="12"/>
      <c r="O49" s="12"/>
      <c r="P49" s="12"/>
      <c r="Q49" s="12"/>
    </row>
    <row r="50" spans="1:17" ht="33" customHeight="1" thickTop="1" thickBot="1" x14ac:dyDescent="0.25">
      <c r="A50" s="12"/>
      <c r="B50" s="1588" t="str">
        <f>CONCATENATE('Jrnl Rev'!BE4," - ",'Jrnl Rev'!BE5)</f>
        <v>4800 - Funding &amp; Recoveries (Gov't)</v>
      </c>
      <c r="C50" s="522">
        <f>'Jrnl Rev'!BE$6</f>
        <v>4810</v>
      </c>
      <c r="D50" s="1589"/>
      <c r="E50" s="523" t="str">
        <f>+'Jrnl Rev'!BE$8</f>
        <v>DND Local Support Allocation (LSA)</v>
      </c>
      <c r="F50" s="524">
        <f>'Budget Tracker~Suivi'!F50</f>
        <v>0</v>
      </c>
      <c r="G50" s="1589"/>
      <c r="H50" s="1203">
        <f>'Budget Tracker~Suivi'!H50</f>
        <v>0</v>
      </c>
      <c r="I50" s="1204">
        <f>'Budget Tracker~Suivi'!I50</f>
        <v>0</v>
      </c>
      <c r="J50" s="1197"/>
      <c r="K50" s="1195"/>
      <c r="L50" s="12"/>
      <c r="M50" s="12"/>
      <c r="N50" s="12"/>
      <c r="O50" s="12"/>
      <c r="P50" s="12"/>
      <c r="Q50" s="12"/>
    </row>
    <row r="51" spans="1:17" ht="33" customHeight="1" thickTop="1" thickBot="1" x14ac:dyDescent="0.25">
      <c r="A51" s="12"/>
      <c r="B51" s="1588"/>
      <c r="C51" s="147">
        <f>'Jrnl Rev'!BF$6</f>
        <v>4820</v>
      </c>
      <c r="D51" s="1589"/>
      <c r="E51" s="501" t="str">
        <f>+'Jrnl Rev'!BF$8</f>
        <v>DND Allocation - Mandatory and Complementary Pgm (MCP)</v>
      </c>
      <c r="F51" s="540">
        <f>'Budget Tracker~Suivi'!F51</f>
        <v>0</v>
      </c>
      <c r="G51" s="1589"/>
      <c r="H51" s="1208">
        <f>'Budget Tracker~Suivi'!H51</f>
        <v>0</v>
      </c>
      <c r="I51" s="1207">
        <f>'Budget Tracker~Suivi'!I51</f>
        <v>0</v>
      </c>
      <c r="J51" s="1199"/>
      <c r="K51" s="1193"/>
      <c r="L51" s="12"/>
      <c r="M51" s="12"/>
      <c r="N51" s="12"/>
      <c r="O51" s="12"/>
      <c r="P51" s="12"/>
      <c r="Q51" s="12"/>
    </row>
    <row r="52" spans="1:17" ht="33" customHeight="1" thickTop="1" thickBot="1" x14ac:dyDescent="0.25">
      <c r="A52" s="12"/>
      <c r="B52" s="1588"/>
      <c r="C52" s="147">
        <f>'Jrnl Rev'!BG$6</f>
        <v>4830</v>
      </c>
      <c r="D52" s="1589"/>
      <c r="E52" s="501" t="str">
        <f>+'Jrnl Rev'!BG$8</f>
        <v>Federal Portion - Tax Rebate</v>
      </c>
      <c r="F52" s="540" t="str">
        <f>'Budget Tracker~Suivi'!F52</f>
        <v>Only for squadrons with a Charity status</v>
      </c>
      <c r="G52" s="1589"/>
      <c r="H52" s="1208">
        <f>'Budget Tracker~Suivi'!H52</f>
        <v>0</v>
      </c>
      <c r="I52" s="1207">
        <f>'Budget Tracker~Suivi'!I52</f>
        <v>0</v>
      </c>
      <c r="J52" s="1199"/>
      <c r="K52" s="1193"/>
      <c r="L52" s="12"/>
      <c r="M52" s="12"/>
      <c r="N52" s="12"/>
      <c r="O52" s="12"/>
      <c r="P52" s="12"/>
      <c r="Q52" s="12"/>
    </row>
    <row r="53" spans="1:17" ht="33" customHeight="1" thickTop="1" thickBot="1" x14ac:dyDescent="0.25">
      <c r="A53" s="12"/>
      <c r="B53" s="1588"/>
      <c r="C53" s="147">
        <f>'Jrnl Rev'!BH$6</f>
        <v>4835</v>
      </c>
      <c r="D53" s="1589"/>
      <c r="E53" s="501" t="str">
        <f>+'Jrnl Rev'!BH$8</f>
        <v>Disponible ~ Available</v>
      </c>
      <c r="F53" s="540">
        <f>'Budget Tracker~Suivi'!F53</f>
        <v>0</v>
      </c>
      <c r="G53" s="1589"/>
      <c r="H53" s="1208">
        <f>'Budget Tracker~Suivi'!H53</f>
        <v>0</v>
      </c>
      <c r="I53" s="1207">
        <f>'Budget Tracker~Suivi'!I53</f>
        <v>0</v>
      </c>
      <c r="J53" s="1199"/>
      <c r="K53" s="1193"/>
      <c r="L53" s="12"/>
      <c r="M53" s="12"/>
      <c r="N53" s="12"/>
      <c r="O53" s="12"/>
      <c r="P53" s="12"/>
      <c r="Q53" s="12"/>
    </row>
    <row r="54" spans="1:17" ht="33" customHeight="1" thickTop="1" thickBot="1" x14ac:dyDescent="0.25">
      <c r="A54" s="12"/>
      <c r="B54" s="1588"/>
      <c r="C54" s="147">
        <f>'Jrnl Rev'!BI$6</f>
        <v>4840</v>
      </c>
      <c r="D54" s="1589"/>
      <c r="E54" s="501" t="str">
        <f>+'Jrnl Rev'!BI8</f>
        <v>Governmental Grants - Provincial</v>
      </c>
      <c r="F54" s="540">
        <f>'Budget Tracker~Suivi'!F54</f>
        <v>0</v>
      </c>
      <c r="G54" s="1589"/>
      <c r="H54" s="1208">
        <f>'Budget Tracker~Suivi'!H54</f>
        <v>0</v>
      </c>
      <c r="I54" s="1207">
        <f>'Budget Tracker~Suivi'!I54</f>
        <v>0</v>
      </c>
      <c r="J54" s="1199"/>
      <c r="K54" s="1193"/>
      <c r="L54" s="12"/>
      <c r="M54" s="12"/>
      <c r="N54" s="12"/>
      <c r="O54" s="12"/>
      <c r="P54" s="12"/>
      <c r="Q54" s="12"/>
    </row>
    <row r="55" spans="1:17" ht="33" customHeight="1" thickTop="1" thickBot="1" x14ac:dyDescent="0.25">
      <c r="A55" s="12"/>
      <c r="B55" s="1588"/>
      <c r="C55" s="147">
        <f>'Jrnl Rev'!BJ6</f>
        <v>4850</v>
      </c>
      <c r="D55" s="1589"/>
      <c r="E55" s="501" t="str">
        <f>+'Jrnl Rev'!BJ8</f>
        <v>Provincial Portion - Tax Rebate</v>
      </c>
      <c r="F55" s="540" t="str">
        <f>'Budget Tracker~Suivi'!F55</f>
        <v>Only for squadrons with a Charity status</v>
      </c>
      <c r="G55" s="1589"/>
      <c r="H55" s="1208">
        <f>'Budget Tracker~Suivi'!H55</f>
        <v>0</v>
      </c>
      <c r="I55" s="1207">
        <f>'Budget Tracker~Suivi'!I55</f>
        <v>0</v>
      </c>
      <c r="J55" s="1199"/>
      <c r="K55" s="1193"/>
      <c r="L55" s="12"/>
      <c r="M55" s="12"/>
      <c r="N55" s="12"/>
      <c r="O55" s="12"/>
      <c r="P55" s="12"/>
      <c r="Q55" s="12"/>
    </row>
    <row r="56" spans="1:17" ht="33" customHeight="1" thickTop="1" thickBot="1" x14ac:dyDescent="0.25">
      <c r="A56" s="12"/>
      <c r="B56" s="1588"/>
      <c r="C56" s="147">
        <f>'Jrnl Rev'!BK6</f>
        <v>4860</v>
      </c>
      <c r="D56" s="1589"/>
      <c r="E56" s="501" t="str">
        <f>+'Jrnl Rev'!BK8</f>
        <v>Disponible ~ Available</v>
      </c>
      <c r="F56" s="540">
        <f>'Budget Tracker~Suivi'!F56</f>
        <v>0</v>
      </c>
      <c r="G56" s="1589"/>
      <c r="H56" s="1208">
        <f>'Budget Tracker~Suivi'!H56</f>
        <v>0</v>
      </c>
      <c r="I56" s="1207">
        <f>'Budget Tracker~Suivi'!I56</f>
        <v>0</v>
      </c>
      <c r="J56" s="1199"/>
      <c r="K56" s="1193"/>
      <c r="L56" s="12"/>
      <c r="M56" s="12"/>
      <c r="N56" s="12"/>
      <c r="O56" s="12"/>
      <c r="P56" s="12"/>
      <c r="Q56" s="12"/>
    </row>
    <row r="57" spans="1:17" ht="33" customHeight="1" thickTop="1" thickBot="1" x14ac:dyDescent="0.25">
      <c r="A57" s="12"/>
      <c r="B57" s="1588"/>
      <c r="C57" s="147">
        <f>'Jrnl Rev'!BL6</f>
        <v>4870</v>
      </c>
      <c r="D57" s="1589"/>
      <c r="E57" s="501" t="str">
        <f>+'Jrnl Rev'!BL8</f>
        <v>Governmental Grants - Regional/
Municipal</v>
      </c>
      <c r="F57" s="540">
        <f>'Budget Tracker~Suivi'!F57</f>
        <v>0</v>
      </c>
      <c r="G57" s="1589"/>
      <c r="H57" s="1208">
        <f>'Budget Tracker~Suivi'!H57</f>
        <v>0</v>
      </c>
      <c r="I57" s="1207">
        <f>'Budget Tracker~Suivi'!I57</f>
        <v>0</v>
      </c>
      <c r="J57" s="1199"/>
      <c r="K57" s="1193"/>
      <c r="L57" s="12"/>
      <c r="M57" s="12"/>
      <c r="N57" s="12"/>
      <c r="O57" s="12"/>
      <c r="P57" s="12"/>
      <c r="Q57" s="12"/>
    </row>
    <row r="58" spans="1:17" ht="33" customHeight="1" thickTop="1" thickBot="1" x14ac:dyDescent="0.25">
      <c r="A58" s="12"/>
      <c r="B58" s="1588"/>
      <c r="C58" s="147">
        <f>'Jrnl Rev'!BM$6</f>
        <v>4880</v>
      </c>
      <c r="D58" s="1589"/>
      <c r="E58" s="501" t="str">
        <f>+'Jrnl Rev'!BM8</f>
        <v>Disponible ~ Available</v>
      </c>
      <c r="F58" s="540">
        <f>'Budget Tracker~Suivi'!F58</f>
        <v>0</v>
      </c>
      <c r="G58" s="1589"/>
      <c r="H58" s="1208">
        <f>'Budget Tracker~Suivi'!H58</f>
        <v>0</v>
      </c>
      <c r="I58" s="1207">
        <f>'Budget Tracker~Suivi'!I58</f>
        <v>0</v>
      </c>
      <c r="J58" s="1199"/>
      <c r="K58" s="1193"/>
      <c r="L58" s="12"/>
      <c r="M58" s="12"/>
      <c r="N58" s="12"/>
      <c r="O58" s="12"/>
      <c r="P58" s="12"/>
      <c r="Q58" s="12"/>
    </row>
    <row r="59" spans="1:17" ht="33" customHeight="1" thickTop="1" thickBot="1" x14ac:dyDescent="0.25">
      <c r="A59" s="12"/>
      <c r="B59" s="1588"/>
      <c r="C59" s="541">
        <f>'Jrnl Rev'!BN$6</f>
        <v>4890</v>
      </c>
      <c r="D59" s="1589"/>
      <c r="E59" s="542" t="str">
        <f>+'Jrnl Rev'!BN8</f>
        <v>Disponible ~ Available</v>
      </c>
      <c r="F59" s="538">
        <f>'Budget Tracker~Suivi'!F59</f>
        <v>0</v>
      </c>
      <c r="G59" s="1589"/>
      <c r="H59" s="1205">
        <f>'Budget Tracker~Suivi'!H59</f>
        <v>0</v>
      </c>
      <c r="I59" s="1206">
        <f>'Budget Tracker~Suivi'!I59</f>
        <v>0</v>
      </c>
      <c r="J59" s="1198"/>
      <c r="K59" s="1193"/>
      <c r="L59" s="12"/>
      <c r="M59" s="12"/>
      <c r="N59" s="12"/>
      <c r="O59" s="12"/>
      <c r="P59" s="12"/>
      <c r="Q59" s="12"/>
    </row>
    <row r="60" spans="1:17" ht="16.5" customHeight="1" thickTop="1" x14ac:dyDescent="0.2">
      <c r="A60" s="12"/>
      <c r="B60" s="12"/>
      <c r="C60" s="12"/>
      <c r="D60" s="12"/>
      <c r="E60" s="12"/>
      <c r="F60" s="12"/>
      <c r="G60" s="12"/>
      <c r="H60" s="543"/>
      <c r="I60" s="543"/>
      <c r="J60" s="543"/>
      <c r="K60" s="543"/>
      <c r="L60" s="12"/>
      <c r="M60" s="12"/>
      <c r="N60" s="12"/>
      <c r="O60" s="12"/>
      <c r="P60" s="12"/>
      <c r="Q60" s="12"/>
    </row>
    <row r="61" spans="1:17" ht="33" customHeight="1" thickBot="1" x14ac:dyDescent="0.25">
      <c r="A61" s="12"/>
      <c r="B61" s="544"/>
      <c r="C61" s="545"/>
      <c r="D61" s="545"/>
      <c r="E61" s="1602" t="str">
        <f>IF(N7=2,"Sous-Total","Sub-Total")</f>
        <v>Sub-Total</v>
      </c>
      <c r="F61" s="1602"/>
      <c r="G61" s="1602"/>
      <c r="H61" s="546">
        <f>SUM(H10:H12,H17:H59)</f>
        <v>0</v>
      </c>
      <c r="I61" s="546">
        <f>SUM(I10:I12,I17:I59)</f>
        <v>0</v>
      </c>
      <c r="J61" s="547"/>
      <c r="K61" s="547">
        <f>SUM(K10:K12,K17:K59)</f>
        <v>0</v>
      </c>
      <c r="L61" s="12"/>
      <c r="M61" s="12"/>
      <c r="N61" s="12"/>
      <c r="O61" s="12"/>
      <c r="P61" s="12"/>
      <c r="Q61" s="12"/>
    </row>
    <row r="62" spans="1:17" ht="15" customHeight="1" x14ac:dyDescent="0.2">
      <c r="A62" s="12"/>
      <c r="B62" s="25"/>
      <c r="C62" s="19"/>
      <c r="D62" s="19"/>
      <c r="E62" s="548"/>
      <c r="F62" s="548"/>
      <c r="G62" s="548"/>
      <c r="H62" s="549"/>
      <c r="I62" s="549"/>
      <c r="J62" s="549"/>
      <c r="K62" s="549"/>
      <c r="L62" s="12"/>
      <c r="M62" s="12"/>
      <c r="N62" s="12"/>
      <c r="O62" s="12"/>
      <c r="P62" s="12"/>
      <c r="Q62" s="12"/>
    </row>
    <row r="63" spans="1:17" ht="33" customHeight="1" thickBot="1" x14ac:dyDescent="0.25">
      <c r="A63" s="12"/>
      <c r="B63" s="1867" t="str">
        <f>IF(N7=2,"Dépenses","Expense Items")</f>
        <v>Expense Items</v>
      </c>
      <c r="C63" s="1868"/>
      <c r="D63" s="1868"/>
      <c r="E63" s="1868"/>
      <c r="F63" s="1868"/>
      <c r="G63" s="1868"/>
      <c r="H63" s="1868"/>
      <c r="I63" s="1868"/>
      <c r="J63" s="1868"/>
      <c r="K63" s="1869"/>
      <c r="L63" s="12"/>
      <c r="M63" s="12"/>
      <c r="N63" s="12"/>
      <c r="O63" s="12"/>
      <c r="P63" s="12"/>
      <c r="Q63" s="12"/>
    </row>
    <row r="64" spans="1:17" ht="33" customHeight="1" thickTop="1" thickBot="1" x14ac:dyDescent="0.25">
      <c r="A64" s="12"/>
      <c r="B64" s="1603" t="str">
        <f>CONCATENATE('Jrnl Exp ~ Dép'!P4," - ",'Jrnl Exp ~ Dép'!P5)</f>
        <v>5000 - Administrative &amp; Operating Expenses</v>
      </c>
      <c r="C64" s="522">
        <f>'Jrnl Exp ~ Dép'!P$6</f>
        <v>5010</v>
      </c>
      <c r="D64" s="1589"/>
      <c r="E64" s="523" t="str">
        <f>+'Jrnl Exp ~ Dép'!P8</f>
        <v>Admin. &amp; Office supplies</v>
      </c>
      <c r="F64" s="524" t="str">
        <f>'Budget Tracker~Suivi'!F64</f>
        <v>Photocopies, Paper, Toner, Stationary</v>
      </c>
      <c r="G64" s="1589"/>
      <c r="H64" s="1203">
        <f>'Budget Tracker~Suivi'!H64</f>
        <v>0</v>
      </c>
      <c r="I64" s="1204">
        <f>'Budget Tracker~Suivi'!I64</f>
        <v>0</v>
      </c>
      <c r="J64" s="1197"/>
      <c r="K64" s="1193"/>
      <c r="L64" s="12"/>
      <c r="M64" s="12"/>
      <c r="N64" s="12"/>
      <c r="O64" s="12"/>
      <c r="P64" s="12"/>
      <c r="Q64" s="12"/>
    </row>
    <row r="65" spans="1:17" ht="33" customHeight="1" thickTop="1" thickBot="1" x14ac:dyDescent="0.25">
      <c r="A65" s="12"/>
      <c r="B65" s="1604"/>
      <c r="C65" s="147">
        <f>'Jrnl Exp ~ Dép'!Q$6</f>
        <v>5020</v>
      </c>
      <c r="D65" s="1589"/>
      <c r="E65" s="501" t="str">
        <f>+'Jrnl Exp ~ Dép'!Q8</f>
        <v>Office Equipment</v>
      </c>
      <c r="F65" s="540" t="str">
        <f>'Budget Tracker~Suivi'!F65</f>
        <v>Laptops, Printers, Software, Filing Cabinets, Desk, chairs</v>
      </c>
      <c r="G65" s="1589"/>
      <c r="H65" s="1212">
        <f>'Budget Tracker~Suivi'!H65</f>
        <v>0</v>
      </c>
      <c r="I65" s="1207">
        <f>'Budget Tracker~Suivi'!I65</f>
        <v>0</v>
      </c>
      <c r="J65" s="1199"/>
      <c r="K65" s="1193"/>
      <c r="L65" s="12"/>
      <c r="M65" s="12"/>
      <c r="N65" s="12"/>
      <c r="O65" s="12"/>
      <c r="P65" s="12"/>
      <c r="Q65" s="12"/>
    </row>
    <row r="66" spans="1:17" ht="33" customHeight="1" thickTop="1" thickBot="1" x14ac:dyDescent="0.25">
      <c r="A66" s="12"/>
      <c r="B66" s="1604"/>
      <c r="C66" s="147">
        <f>'Jrnl Exp ~ Dép'!R$6</f>
        <v>5030</v>
      </c>
      <c r="D66" s="1589"/>
      <c r="E66" s="501" t="str">
        <f>+'Jrnl Exp ~ Dép'!R8</f>
        <v>Sqn Quarters Rental</v>
      </c>
      <c r="F66" s="540" t="str">
        <f>'Budget Tracker~Suivi'!F66</f>
        <v>Annual Costs: school rental, storage</v>
      </c>
      <c r="G66" s="1589"/>
      <c r="H66" s="1212">
        <f>'Budget Tracker~Suivi'!H66</f>
        <v>0</v>
      </c>
      <c r="I66" s="1207">
        <f>'Budget Tracker~Suivi'!I66</f>
        <v>0</v>
      </c>
      <c r="J66" s="1199"/>
      <c r="K66" s="1193"/>
      <c r="L66" s="12"/>
      <c r="M66" s="12"/>
      <c r="N66" s="12"/>
      <c r="O66" s="12"/>
      <c r="P66" s="12"/>
      <c r="Q66" s="12"/>
    </row>
    <row r="67" spans="1:17" ht="33" customHeight="1" thickTop="1" thickBot="1" x14ac:dyDescent="0.25">
      <c r="A67" s="12"/>
      <c r="B67" s="1604"/>
      <c r="C67" s="147">
        <f>'Jrnl Exp ~ Dép'!S$6</f>
        <v>5040</v>
      </c>
      <c r="D67" s="1589"/>
      <c r="E67" s="501" t="str">
        <f>+'Jrnl Exp ~ Dép'!S8</f>
        <v>Maintenance, repairs, expansion</v>
      </c>
      <c r="F67" s="540" t="str">
        <f>'Budget Tracker~Suivi'!F67</f>
        <v>Maintenance, Expansion, Repairs</v>
      </c>
      <c r="G67" s="1589"/>
      <c r="H67" s="1212">
        <f>'Budget Tracker~Suivi'!H67</f>
        <v>0</v>
      </c>
      <c r="I67" s="1207">
        <f>'Budget Tracker~Suivi'!I67</f>
        <v>0</v>
      </c>
      <c r="J67" s="1199"/>
      <c r="K67" s="1193"/>
      <c r="L67" s="12"/>
      <c r="M67" s="12"/>
      <c r="N67" s="12"/>
      <c r="O67" s="12"/>
      <c r="P67" s="12"/>
      <c r="Q67" s="12"/>
    </row>
    <row r="68" spans="1:17" ht="33" customHeight="1" thickTop="1" thickBot="1" x14ac:dyDescent="0.25">
      <c r="A68" s="12"/>
      <c r="B68" s="1604"/>
      <c r="C68" s="147">
        <f>'Jrnl Exp ~ Dép'!T$6</f>
        <v>5050</v>
      </c>
      <c r="D68" s="1589"/>
      <c r="E68" s="501" t="str">
        <f>+'Jrnl Exp ~ Dép'!T$8</f>
        <v>Utilities,PO Box</v>
      </c>
      <c r="F68" s="540" t="str">
        <f>'Budget Tracker~Suivi'!F68</f>
        <v>PO Box, Internet, Website, Cell</v>
      </c>
      <c r="G68" s="1589"/>
      <c r="H68" s="1212">
        <f>'Budget Tracker~Suivi'!H68</f>
        <v>0</v>
      </c>
      <c r="I68" s="1207">
        <f>'Budget Tracker~Suivi'!I68</f>
        <v>0</v>
      </c>
      <c r="J68" s="1199"/>
      <c r="K68" s="1193"/>
      <c r="L68" s="12"/>
      <c r="M68" s="12"/>
      <c r="N68" s="12"/>
      <c r="O68" s="12"/>
      <c r="P68" s="12"/>
      <c r="Q68" s="12"/>
    </row>
    <row r="69" spans="1:17" ht="33" customHeight="1" thickTop="1" thickBot="1" x14ac:dyDescent="0.25">
      <c r="A69" s="12"/>
      <c r="B69" s="1604"/>
      <c r="C69" s="147">
        <f>'Jrnl Exp ~ Dép'!U$6</f>
        <v>5060</v>
      </c>
      <c r="D69" s="1589"/>
      <c r="E69" s="501" t="str">
        <f>+'Jrnl Exp ~ Dép'!U$8</f>
        <v>Meeting costs</v>
      </c>
      <c r="F69" s="540" t="str">
        <f>'Budget Tracker~Suivi'!F69</f>
        <v>Chair, Treasurer, CO and Cdt Comdr (or representatives)</v>
      </c>
      <c r="G69" s="1589"/>
      <c r="H69" s="1212">
        <f>'Budget Tracker~Suivi'!H69</f>
        <v>0</v>
      </c>
      <c r="I69" s="1207">
        <f>'Budget Tracker~Suivi'!I69</f>
        <v>0</v>
      </c>
      <c r="J69" s="1199"/>
      <c r="K69" s="1193"/>
      <c r="L69" s="12"/>
      <c r="M69" s="12"/>
      <c r="N69" s="12"/>
      <c r="O69" s="12"/>
      <c r="P69" s="12"/>
      <c r="Q69" s="12"/>
    </row>
    <row r="70" spans="1:17" ht="33" customHeight="1" thickTop="1" thickBot="1" x14ac:dyDescent="0.25">
      <c r="A70" s="12"/>
      <c r="B70" s="1604"/>
      <c r="C70" s="147">
        <f>'Jrnl Exp ~ Dép'!V$6</f>
        <v>5070</v>
      </c>
      <c r="D70" s="1589"/>
      <c r="E70" s="501" t="str">
        <f>+'Jrnl Exp ~ Dép'!V$8</f>
        <v>Committee staff Accoutrement and such</v>
      </c>
      <c r="F70" s="540">
        <f>'Budget Tracker~Suivi'!F70</f>
        <v>0</v>
      </c>
      <c r="G70" s="1589"/>
      <c r="H70" s="1212">
        <f>'Budget Tracker~Suivi'!H70</f>
        <v>0</v>
      </c>
      <c r="I70" s="1207">
        <f>'Budget Tracker~Suivi'!I70</f>
        <v>0</v>
      </c>
      <c r="J70" s="1199"/>
      <c r="K70" s="1193"/>
      <c r="L70" s="12"/>
      <c r="M70" s="12"/>
      <c r="N70" s="12"/>
      <c r="O70" s="12"/>
      <c r="P70" s="12"/>
      <c r="Q70" s="12"/>
    </row>
    <row r="71" spans="1:17" ht="33" customHeight="1" thickTop="1" thickBot="1" x14ac:dyDescent="0.25">
      <c r="A71" s="12"/>
      <c r="B71" s="1604"/>
      <c r="C71" s="147">
        <f>'Jrnl Exp ~ Dép'!W$6</f>
        <v>5080</v>
      </c>
      <c r="D71" s="1589"/>
      <c r="E71" s="501" t="str">
        <f>+'Jrnl Exp ~ Dép'!W$8</f>
        <v>Advertising &amp; Recruiting</v>
      </c>
      <c r="F71" s="540" t="str">
        <f>'Budget Tracker~Suivi'!F71</f>
        <v>P.R., Image, Handbook, Advertising,  Newspaper Ads, Open door, awards, etc.</v>
      </c>
      <c r="G71" s="1589"/>
      <c r="H71" s="1212">
        <f>'Budget Tracker~Suivi'!H71</f>
        <v>0</v>
      </c>
      <c r="I71" s="1207">
        <f>'Budget Tracker~Suivi'!I71</f>
        <v>0</v>
      </c>
      <c r="J71" s="1199"/>
      <c r="K71" s="1193"/>
      <c r="L71" s="12"/>
      <c r="M71" s="12"/>
      <c r="N71" s="12"/>
      <c r="O71" s="12"/>
      <c r="P71" s="12"/>
      <c r="Q71" s="12"/>
    </row>
    <row r="72" spans="1:17" ht="33" customHeight="1" thickTop="1" thickBot="1" x14ac:dyDescent="0.25">
      <c r="A72" s="12"/>
      <c r="B72" s="1604"/>
      <c r="C72" s="147">
        <f>'Jrnl Exp ~ Dép'!X$6</f>
        <v>5090</v>
      </c>
      <c r="D72" s="1589"/>
      <c r="E72" s="501" t="str">
        <f>+'Jrnl Exp ~ Dép'!X$8</f>
        <v>Annual Provincial Committee Assessment</v>
      </c>
      <c r="F72" s="540" t="str">
        <f>'Budget Tracker~Suivi'!F72</f>
        <v>Based on the quota as of 31 March of previous FY</v>
      </c>
      <c r="G72" s="1589"/>
      <c r="H72" s="1212">
        <f>'Budget Tracker~Suivi'!H72</f>
        <v>0</v>
      </c>
      <c r="I72" s="1207">
        <f>'Budget Tracker~Suivi'!I72</f>
        <v>0</v>
      </c>
      <c r="J72" s="1199"/>
      <c r="K72" s="1193"/>
      <c r="L72" s="12"/>
      <c r="M72" s="12"/>
      <c r="N72" s="12"/>
      <c r="O72" s="12"/>
      <c r="P72" s="12"/>
      <c r="Q72" s="12"/>
    </row>
    <row r="73" spans="1:17" ht="33" customHeight="1" thickTop="1" thickBot="1" x14ac:dyDescent="0.25">
      <c r="A73" s="12"/>
      <c r="B73" s="1604"/>
      <c r="C73" s="147">
        <f>'Jrnl Exp ~ Dép'!Y$6</f>
        <v>5100</v>
      </c>
      <c r="D73" s="1589"/>
      <c r="E73" s="501" t="str">
        <f>+'Jrnl Exp ~ Dép'!Y$8</f>
        <v>Air Group, Air Wing Dues and such</v>
      </c>
      <c r="F73" s="540" t="str">
        <f>'Budget Tracker~Suivi'!F73</f>
        <v>Regional Assessment</v>
      </c>
      <c r="G73" s="1589"/>
      <c r="H73" s="1212">
        <f>'Budget Tracker~Suivi'!H73</f>
        <v>0</v>
      </c>
      <c r="I73" s="1207">
        <f>'Budget Tracker~Suivi'!I73</f>
        <v>0</v>
      </c>
      <c r="J73" s="1199"/>
      <c r="K73" s="1193"/>
      <c r="L73" s="12"/>
      <c r="M73" s="12"/>
      <c r="N73" s="12"/>
      <c r="O73" s="12"/>
      <c r="P73" s="12"/>
      <c r="Q73" s="12"/>
    </row>
    <row r="74" spans="1:17" ht="33" customHeight="1" thickTop="1" thickBot="1" x14ac:dyDescent="0.25">
      <c r="A74" s="12"/>
      <c r="B74" s="1604"/>
      <c r="C74" s="147">
        <f>'Jrnl Exp ~ Dép'!Z$6</f>
        <v>5110</v>
      </c>
      <c r="D74" s="1589"/>
      <c r="E74" s="501" t="str">
        <f>+'Jrnl Exp ~ Dép'!Z$8</f>
        <v>Financial &amp; Bank Charges</v>
      </c>
      <c r="F74" s="540" t="str">
        <f>'Budget Tracker~Suivi'!F74</f>
        <v>Monthly Bank Fees, Cheques Printing, Investment Charges, Returned cheque fees</v>
      </c>
      <c r="G74" s="1589"/>
      <c r="H74" s="1212">
        <f>'Budget Tracker~Suivi'!H74</f>
        <v>0</v>
      </c>
      <c r="I74" s="1207">
        <f>'Budget Tracker~Suivi'!I74</f>
        <v>0</v>
      </c>
      <c r="J74" s="1199"/>
      <c r="K74" s="1193"/>
      <c r="L74" s="12"/>
      <c r="M74" s="12"/>
      <c r="N74" s="12"/>
      <c r="O74" s="12"/>
      <c r="P74" s="12"/>
      <c r="Q74" s="12"/>
    </row>
    <row r="75" spans="1:17" ht="33" customHeight="1" thickTop="1" thickBot="1" x14ac:dyDescent="0.25">
      <c r="A75" s="12"/>
      <c r="B75" s="1604"/>
      <c r="C75" s="147">
        <f>'Jrnl Exp ~ Dép'!AA$6</f>
        <v>5120</v>
      </c>
      <c r="D75" s="1589"/>
      <c r="E75" s="501" t="str">
        <f>+'Jrnl Exp ~ Dép'!AA$8</f>
        <v>Professional Services</v>
      </c>
      <c r="F75" s="540">
        <f>'Budget Tracker~Suivi'!F75</f>
        <v>0</v>
      </c>
      <c r="G75" s="1589"/>
      <c r="H75" s="1212">
        <f>'Budget Tracker~Suivi'!H75</f>
        <v>0</v>
      </c>
      <c r="I75" s="1207">
        <f>'Budget Tracker~Suivi'!I75</f>
        <v>0</v>
      </c>
      <c r="J75" s="1199"/>
      <c r="K75" s="1193"/>
      <c r="L75" s="12"/>
      <c r="M75" s="12"/>
      <c r="N75" s="12"/>
      <c r="O75" s="12"/>
      <c r="P75" s="12"/>
      <c r="Q75" s="12"/>
    </row>
    <row r="76" spans="1:17" ht="33" customHeight="1" thickTop="1" thickBot="1" x14ac:dyDescent="0.25">
      <c r="A76" s="12"/>
      <c r="B76" s="1604"/>
      <c r="C76" s="147">
        <f>'Jrnl Exp ~ Dép'!AB$6</f>
        <v>5130</v>
      </c>
      <c r="D76" s="1589"/>
      <c r="E76" s="501" t="str">
        <f>+'Jrnl Exp ~ Dép'!AB$8</f>
        <v>Compensation for employees</v>
      </c>
      <c r="F76" s="540">
        <f>'Budget Tracker~Suivi'!F76</f>
        <v>0</v>
      </c>
      <c r="G76" s="1589"/>
      <c r="H76" s="1212">
        <f>'Budget Tracker~Suivi'!H76</f>
        <v>0</v>
      </c>
      <c r="I76" s="1207">
        <f>'Budget Tracker~Suivi'!I76</f>
        <v>0</v>
      </c>
      <c r="J76" s="1199"/>
      <c r="K76" s="1193"/>
      <c r="L76" s="12"/>
      <c r="M76" s="12"/>
      <c r="N76" s="12"/>
      <c r="O76" s="12"/>
      <c r="P76" s="12"/>
      <c r="Q76" s="12"/>
    </row>
    <row r="77" spans="1:17" ht="33" customHeight="1" thickTop="1" thickBot="1" x14ac:dyDescent="0.25">
      <c r="A77" s="12"/>
      <c r="B77" s="1604"/>
      <c r="C77" s="147">
        <f>'Jrnl Exp ~ Dép'!AC$6</f>
        <v>5140</v>
      </c>
      <c r="D77" s="1589"/>
      <c r="E77" s="501" t="str">
        <f>+'Jrnl Exp ~ Dép'!AC$8</f>
        <v>Insurance for material and properties</v>
      </c>
      <c r="F77" s="540" t="str">
        <f>'Budget Tracker~Suivi'!F77</f>
        <v>Insurance for SSC Material (through League or not)</v>
      </c>
      <c r="G77" s="1589"/>
      <c r="H77" s="1212">
        <f>'Budget Tracker~Suivi'!H77</f>
        <v>0</v>
      </c>
      <c r="I77" s="1207">
        <f>'Budget Tracker~Suivi'!I77</f>
        <v>0</v>
      </c>
      <c r="J77" s="1199"/>
      <c r="K77" s="1193"/>
      <c r="L77" s="12"/>
      <c r="M77" s="12"/>
      <c r="N77" s="12"/>
      <c r="O77" s="12"/>
      <c r="P77" s="12"/>
      <c r="Q77" s="12"/>
    </row>
    <row r="78" spans="1:17" ht="33" customHeight="1" thickTop="1" thickBot="1" x14ac:dyDescent="0.25">
      <c r="A78" s="12"/>
      <c r="B78" s="1604"/>
      <c r="C78" s="147">
        <f>'Jrnl Exp ~ Dép'!AD$6</f>
        <v>5150</v>
      </c>
      <c r="D78" s="1589"/>
      <c r="E78" s="501" t="str">
        <f>+'Jrnl Exp ~ Dép'!AD$8</f>
        <v>Travel Expenses</v>
      </c>
      <c r="F78" s="540">
        <f>'Budget Tracker~Suivi'!F78</f>
        <v>0</v>
      </c>
      <c r="G78" s="1589"/>
      <c r="H78" s="1212">
        <f>'Budget Tracker~Suivi'!H78</f>
        <v>0</v>
      </c>
      <c r="I78" s="1207">
        <f>'Budget Tracker~Suivi'!I78</f>
        <v>0</v>
      </c>
      <c r="J78" s="1199"/>
      <c r="K78" s="1193"/>
      <c r="L78" s="12"/>
      <c r="M78" s="12"/>
      <c r="N78" s="12"/>
      <c r="O78" s="12"/>
      <c r="P78" s="12"/>
      <c r="Q78" s="12"/>
    </row>
    <row r="79" spans="1:17" ht="33" customHeight="1" thickTop="1" thickBot="1" x14ac:dyDescent="0.25">
      <c r="A79" s="12"/>
      <c r="B79" s="1604"/>
      <c r="C79" s="147">
        <f>'Jrnl Exp ~ Dép'!AE$6</f>
        <v>5160</v>
      </c>
      <c r="D79" s="1589"/>
      <c r="E79" s="501" t="str">
        <f>+'Jrnl Exp ~ Dép'!AE$8</f>
        <v>Postage/Shipping Costs</v>
      </c>
      <c r="F79" s="540">
        <f>'Budget Tracker~Suivi'!F79</f>
        <v>0</v>
      </c>
      <c r="G79" s="1589"/>
      <c r="H79" s="1212">
        <f>'Budget Tracker~Suivi'!H79</f>
        <v>0</v>
      </c>
      <c r="I79" s="1207">
        <f>'Budget Tracker~Suivi'!I79</f>
        <v>0</v>
      </c>
      <c r="J79" s="1199"/>
      <c r="K79" s="1193"/>
      <c r="L79" s="12"/>
      <c r="M79" s="12"/>
      <c r="N79" s="12"/>
      <c r="O79" s="12"/>
      <c r="P79" s="12"/>
      <c r="Q79" s="12"/>
    </row>
    <row r="80" spans="1:17" ht="33" customHeight="1" thickTop="1" thickBot="1" x14ac:dyDescent="0.25">
      <c r="A80" s="12"/>
      <c r="B80" s="1604"/>
      <c r="C80" s="147">
        <f>'Jrnl Exp ~ Dép'!AF$6</f>
        <v>5170</v>
      </c>
      <c r="D80" s="1589"/>
      <c r="E80" s="501" t="str">
        <f>+'Jrnl Exp ~ Dép'!AF$8</f>
        <v>Facility Rental others than 5030</v>
      </c>
      <c r="F80" s="540">
        <f>'Budget Tracker~Suivi'!F80</f>
        <v>0</v>
      </c>
      <c r="G80" s="1589"/>
      <c r="H80" s="1212">
        <f>'Budget Tracker~Suivi'!H80</f>
        <v>0</v>
      </c>
      <c r="I80" s="1207">
        <f>'Budget Tracker~Suivi'!I80</f>
        <v>0</v>
      </c>
      <c r="J80" s="1199"/>
      <c r="K80" s="1193"/>
      <c r="L80" s="12"/>
      <c r="M80" s="12"/>
      <c r="N80" s="12"/>
      <c r="O80" s="12"/>
      <c r="P80" s="12"/>
      <c r="Q80" s="12"/>
    </row>
    <row r="81" spans="1:17" ht="33" customHeight="1" thickTop="1" thickBot="1" x14ac:dyDescent="0.25">
      <c r="A81" s="12"/>
      <c r="B81" s="1604"/>
      <c r="C81" s="147">
        <f>'Jrnl Exp ~ Dép'!AG$6</f>
        <v>5180</v>
      </c>
      <c r="D81" s="1589"/>
      <c r="E81" s="501" t="str">
        <f>+'Jrnl Exp ~ Dép'!AG$8</f>
        <v>Storage
Rental
Expenses</v>
      </c>
      <c r="F81" s="540">
        <f>'Budget Tracker~Suivi'!F81</f>
        <v>0</v>
      </c>
      <c r="G81" s="1589"/>
      <c r="H81" s="1212">
        <f>'Budget Tracker~Suivi'!H81</f>
        <v>0</v>
      </c>
      <c r="I81" s="1207">
        <f>'Budget Tracker~Suivi'!I81</f>
        <v>0</v>
      </c>
      <c r="J81" s="1199"/>
      <c r="K81" s="1193"/>
      <c r="L81" s="12"/>
      <c r="M81" s="12"/>
      <c r="N81" s="12"/>
      <c r="O81" s="12"/>
      <c r="P81" s="12"/>
      <c r="Q81" s="12"/>
    </row>
    <row r="82" spans="1:17" ht="33" customHeight="1" thickTop="1" thickBot="1" x14ac:dyDescent="0.25">
      <c r="A82" s="12"/>
      <c r="B82" s="1604"/>
      <c r="C82" s="147">
        <f>'Jrnl Exp ~ Dép'!AH$6</f>
        <v>5185</v>
      </c>
      <c r="D82" s="1589"/>
      <c r="E82" s="501" t="str">
        <f>+'Jrnl Exp ~ Dép'!AH$8</f>
        <v>Disponible ~ Available</v>
      </c>
      <c r="F82" s="540">
        <f>'Budget Tracker~Suivi'!F82</f>
        <v>0</v>
      </c>
      <c r="G82" s="1589"/>
      <c r="H82" s="1212">
        <f>'Budget Tracker~Suivi'!H82</f>
        <v>0</v>
      </c>
      <c r="I82" s="1207">
        <f>'Budget Tracker~Suivi'!I82</f>
        <v>0</v>
      </c>
      <c r="J82" s="1201"/>
      <c r="K82" s="1193"/>
      <c r="L82" s="12"/>
      <c r="M82" s="12"/>
      <c r="N82" s="12"/>
      <c r="O82" s="12"/>
      <c r="P82" s="12"/>
      <c r="Q82" s="12"/>
    </row>
    <row r="83" spans="1:17" ht="33" customHeight="1" thickTop="1" thickBot="1" x14ac:dyDescent="0.25">
      <c r="A83" s="12"/>
      <c r="B83" s="1604"/>
      <c r="C83" s="147">
        <f>'Jrnl Exp ~ Dép'!AI$6</f>
        <v>5190</v>
      </c>
      <c r="D83" s="1589"/>
      <c r="E83" s="501" t="str">
        <f>+'Jrnl Exp ~ Dép'!AI$8</f>
        <v>Disponible ~ Available</v>
      </c>
      <c r="F83" s="540">
        <f>'Budget Tracker~Suivi'!F83</f>
        <v>0</v>
      </c>
      <c r="G83" s="1589"/>
      <c r="H83" s="1212">
        <f>'Budget Tracker~Suivi'!H83</f>
        <v>0</v>
      </c>
      <c r="I83" s="1207">
        <f>'Budget Tracker~Suivi'!I83</f>
        <v>0</v>
      </c>
      <c r="J83" s="1201"/>
      <c r="K83" s="1193"/>
      <c r="L83" s="12"/>
      <c r="M83" s="12"/>
      <c r="N83" s="12"/>
      <c r="O83" s="12"/>
      <c r="P83" s="12"/>
      <c r="Q83" s="12"/>
    </row>
    <row r="84" spans="1:17" ht="33" customHeight="1" thickTop="1" thickBot="1" x14ac:dyDescent="0.25">
      <c r="A84" s="12"/>
      <c r="B84" s="1604"/>
      <c r="C84" s="147">
        <f>'Jrnl Exp ~ Dép'!AJ$6</f>
        <v>5195</v>
      </c>
      <c r="D84" s="1589"/>
      <c r="E84" s="501" t="str">
        <f>+'Jrnl Exp ~ Dép'!AJ$8</f>
        <v>Disponible ~ Available</v>
      </c>
      <c r="F84" s="540">
        <f>'Budget Tracker~Suivi'!F84</f>
        <v>0</v>
      </c>
      <c r="G84" s="1589"/>
      <c r="H84" s="1212">
        <f>'Budget Tracker~Suivi'!H84</f>
        <v>0</v>
      </c>
      <c r="I84" s="1207">
        <f>'Budget Tracker~Suivi'!I84</f>
        <v>0</v>
      </c>
      <c r="J84" s="1201"/>
      <c r="K84" s="1193"/>
      <c r="L84" s="12"/>
      <c r="M84" s="12"/>
      <c r="N84" s="12"/>
      <c r="O84" s="12"/>
      <c r="P84" s="12"/>
      <c r="Q84" s="12"/>
    </row>
    <row r="85" spans="1:17" ht="33" customHeight="1" thickTop="1" thickBot="1" x14ac:dyDescent="0.25">
      <c r="A85" s="12"/>
      <c r="B85" s="1604"/>
      <c r="C85" s="147">
        <f>'Jrnl Exp ~ Dép'!AK$6</f>
        <v>5200</v>
      </c>
      <c r="D85" s="1589"/>
      <c r="E85" s="501" t="str">
        <f>+'Jrnl Exp ~ Dép'!AK$8</f>
        <v>Disponible ~ Available</v>
      </c>
      <c r="F85" s="540">
        <f>'Budget Tracker~Suivi'!F85</f>
        <v>0</v>
      </c>
      <c r="G85" s="1589"/>
      <c r="H85" s="1212">
        <f>'Budget Tracker~Suivi'!H85</f>
        <v>0</v>
      </c>
      <c r="I85" s="1207">
        <f>'Budget Tracker~Suivi'!I85</f>
        <v>0</v>
      </c>
      <c r="J85" s="1201"/>
      <c r="K85" s="1193"/>
      <c r="L85" s="12"/>
      <c r="M85" s="12"/>
      <c r="N85" s="12"/>
      <c r="O85" s="12"/>
      <c r="P85" s="12"/>
      <c r="Q85" s="12"/>
    </row>
    <row r="86" spans="1:17" ht="33" customHeight="1" thickTop="1" thickBot="1" x14ac:dyDescent="0.25">
      <c r="A86" s="12"/>
      <c r="B86" s="1604"/>
      <c r="C86" s="147">
        <f>'Jrnl Exp ~ Dép'!AL$6</f>
        <v>5205</v>
      </c>
      <c r="D86" s="1589"/>
      <c r="E86" s="501" t="str">
        <f>+'Jrnl Exp ~ Dép'!AL$8</f>
        <v>Disponible ~ Available</v>
      </c>
      <c r="F86" s="540">
        <f>'Budget Tracker~Suivi'!F86</f>
        <v>0</v>
      </c>
      <c r="G86" s="1589"/>
      <c r="H86" s="1212">
        <f>'Budget Tracker~Suivi'!H86</f>
        <v>0</v>
      </c>
      <c r="I86" s="1207">
        <f>'Budget Tracker~Suivi'!I86</f>
        <v>0</v>
      </c>
      <c r="J86" s="1201"/>
      <c r="K86" s="1193"/>
      <c r="L86" s="12"/>
      <c r="M86" s="12"/>
      <c r="N86" s="12"/>
      <c r="O86" s="12"/>
      <c r="P86" s="12"/>
      <c r="Q86" s="12"/>
    </row>
    <row r="87" spans="1:17" ht="33" customHeight="1" thickTop="1" thickBot="1" x14ac:dyDescent="0.25">
      <c r="A87" s="12"/>
      <c r="B87" s="1604"/>
      <c r="C87" s="147">
        <f>'Jrnl Exp ~ Dép'!AM$6</f>
        <v>5210</v>
      </c>
      <c r="D87" s="1589"/>
      <c r="E87" s="501" t="str">
        <f>+'Jrnl Exp ~ Dép'!AM$8</f>
        <v>Disponible ~ Available</v>
      </c>
      <c r="F87" s="540">
        <f>'Budget Tracker~Suivi'!F87</f>
        <v>0</v>
      </c>
      <c r="G87" s="1589"/>
      <c r="H87" s="1212">
        <f>'Budget Tracker~Suivi'!H87</f>
        <v>0</v>
      </c>
      <c r="I87" s="1207">
        <f>'Budget Tracker~Suivi'!I87</f>
        <v>0</v>
      </c>
      <c r="J87" s="1201"/>
      <c r="K87" s="1193"/>
      <c r="L87" s="12"/>
      <c r="M87" s="12"/>
      <c r="N87" s="12"/>
      <c r="O87" s="12"/>
      <c r="P87" s="12"/>
      <c r="Q87" s="12"/>
    </row>
    <row r="88" spans="1:17" ht="33" customHeight="1" thickTop="1" thickBot="1" x14ac:dyDescent="0.25">
      <c r="A88" s="12"/>
      <c r="B88" s="1604"/>
      <c r="C88" s="147">
        <f>'Jrnl Exp ~ Dép'!AN$6</f>
        <v>5215</v>
      </c>
      <c r="D88" s="1589"/>
      <c r="E88" s="501" t="str">
        <f>+'Jrnl Exp ~ Dép'!AN$8</f>
        <v>Disponible ~ Available</v>
      </c>
      <c r="F88" s="540">
        <f>'Budget Tracker~Suivi'!F88</f>
        <v>0</v>
      </c>
      <c r="G88" s="1589"/>
      <c r="H88" s="1212">
        <f>'Budget Tracker~Suivi'!H88</f>
        <v>0</v>
      </c>
      <c r="I88" s="1207">
        <f>'Budget Tracker~Suivi'!I88</f>
        <v>0</v>
      </c>
      <c r="J88" s="1201"/>
      <c r="K88" s="1193"/>
      <c r="L88" s="12"/>
      <c r="M88" s="12"/>
      <c r="N88" s="12"/>
      <c r="O88" s="12"/>
      <c r="P88" s="12"/>
      <c r="Q88" s="12"/>
    </row>
    <row r="89" spans="1:17" ht="33" customHeight="1" thickTop="1" thickBot="1" x14ac:dyDescent="0.25">
      <c r="A89" s="12"/>
      <c r="B89" s="1605"/>
      <c r="C89" s="541">
        <f>'Jrnl Exp ~ Dép'!AO$6</f>
        <v>5220</v>
      </c>
      <c r="D89" s="1589"/>
      <c r="E89" s="542" t="str">
        <f>+'Jrnl Exp ~ Dép'!AO$8</f>
        <v>Disponible ~ Available</v>
      </c>
      <c r="F89" s="538">
        <f>'Budget Tracker~Suivi'!F89</f>
        <v>0</v>
      </c>
      <c r="G89" s="1589"/>
      <c r="H89" s="1212">
        <f>'Budget Tracker~Suivi'!H89</f>
        <v>0</v>
      </c>
      <c r="I89" s="1206">
        <f>'Budget Tracker~Suivi'!I89</f>
        <v>0</v>
      </c>
      <c r="J89" s="1198"/>
      <c r="K89" s="1193"/>
      <c r="L89" s="12"/>
      <c r="M89" s="12"/>
      <c r="N89" s="12"/>
      <c r="O89" s="12"/>
      <c r="P89" s="12"/>
      <c r="Q89" s="12"/>
    </row>
    <row r="90" spans="1:17" ht="33" customHeight="1" thickTop="1" x14ac:dyDescent="0.2">
      <c r="A90" s="12"/>
      <c r="B90" s="1603" t="str">
        <f>CONCATENATE('Jrnl Exp ~ Dép'!AP4," - ",'Jrnl Exp ~ Dép'!AP5)</f>
        <v>5300 - DND Supported Mandatory Trg/Activities Expenses</v>
      </c>
      <c r="C90" s="1871">
        <f>'Jrnl Exp ~ Dép'!AP$6</f>
        <v>5310</v>
      </c>
      <c r="D90" s="550"/>
      <c r="E90" s="551" t="str">
        <f>+'Jrnl Exp ~ Dép'!AP$8</f>
        <v>Field Trg Ex (FTX)</v>
      </c>
      <c r="F90" s="530" t="s">
        <v>469</v>
      </c>
      <c r="G90" s="531"/>
      <c r="H90" s="1242">
        <f>SUM(G91:G94)</f>
        <v>0</v>
      </c>
      <c r="I90" s="1226">
        <f>SUM(I91:I94)</f>
        <v>0</v>
      </c>
      <c r="J90" s="1242"/>
      <c r="K90" s="1243">
        <f>SUM(K91:K94)</f>
        <v>0</v>
      </c>
      <c r="L90" s="12"/>
      <c r="M90" s="12"/>
      <c r="N90" s="12"/>
      <c r="O90" s="12"/>
      <c r="P90" s="12"/>
      <c r="Q90" s="12"/>
    </row>
    <row r="91" spans="1:17" ht="33" customHeight="1" x14ac:dyDescent="0.2">
      <c r="A91" s="12"/>
      <c r="B91" s="1604"/>
      <c r="C91" s="1872"/>
      <c r="D91" s="1227">
        <f>'Jrnl Exp ~ Dép'!AQ$6</f>
        <v>5310.1</v>
      </c>
      <c r="E91" s="1228" t="str">
        <f>+'Jrnl Exp ~ Dép'!AQ$8</f>
        <v>FTX
Fall</v>
      </c>
      <c r="F91" s="1229"/>
      <c r="G91" s="1212">
        <f>'Budget Tracker~Suivi'!G91</f>
        <v>0</v>
      </c>
      <c r="H91" s="1582"/>
      <c r="I91" s="1207">
        <f>'Budget Tracker~Suivi'!I91</f>
        <v>0</v>
      </c>
      <c r="J91" s="1199"/>
      <c r="K91" s="1193"/>
      <c r="L91" s="12"/>
      <c r="M91" s="12"/>
      <c r="N91" s="12"/>
      <c r="O91" s="12"/>
      <c r="P91" s="12"/>
      <c r="Q91" s="12"/>
    </row>
    <row r="92" spans="1:17" ht="33" customHeight="1" x14ac:dyDescent="0.2">
      <c r="A92" s="12"/>
      <c r="B92" s="1604"/>
      <c r="C92" s="1872"/>
      <c r="D92" s="1227">
        <f>'Jrnl Exp ~ Dép'!AR$6</f>
        <v>5310.2</v>
      </c>
      <c r="E92" s="1228" t="str">
        <f>+'Jrnl Exp ~ Dép'!AR$8</f>
        <v>FTX
Spring</v>
      </c>
      <c r="F92" s="1229"/>
      <c r="G92" s="1212">
        <f>'Budget Tracker~Suivi'!G92</f>
        <v>0</v>
      </c>
      <c r="H92" s="1583"/>
      <c r="I92" s="1207">
        <f>'Budget Tracker~Suivi'!I92</f>
        <v>0</v>
      </c>
      <c r="J92" s="1199"/>
      <c r="K92" s="1193"/>
      <c r="L92" s="12"/>
      <c r="M92" s="12"/>
      <c r="N92" s="12"/>
      <c r="O92" s="12"/>
      <c r="P92" s="12"/>
      <c r="Q92" s="12"/>
    </row>
    <row r="93" spans="1:17" ht="33" customHeight="1" x14ac:dyDescent="0.2">
      <c r="A93" s="12"/>
      <c r="B93" s="1604"/>
      <c r="C93" s="1872"/>
      <c r="D93" s="1227">
        <f>'Jrnl Exp ~ Dép'!AS$6</f>
        <v>5310.3</v>
      </c>
      <c r="E93" s="1228" t="str">
        <f>+'Jrnl Exp ~ Dép'!AS$8</f>
        <v>FTX
Other</v>
      </c>
      <c r="F93" s="1229"/>
      <c r="G93" s="1212">
        <f>'Budget Tracker~Suivi'!G93</f>
        <v>0</v>
      </c>
      <c r="H93" s="1583"/>
      <c r="I93" s="1207">
        <f>'Budget Tracker~Suivi'!I93</f>
        <v>0</v>
      </c>
      <c r="J93" s="1199"/>
      <c r="K93" s="1193"/>
      <c r="L93" s="12"/>
      <c r="M93" s="12"/>
      <c r="N93" s="12"/>
      <c r="O93" s="12"/>
      <c r="P93" s="12"/>
      <c r="Q93" s="12"/>
    </row>
    <row r="94" spans="1:17" ht="33" customHeight="1" thickBot="1" x14ac:dyDescent="0.25">
      <c r="A94" s="12"/>
      <c r="B94" s="1604"/>
      <c r="C94" s="1873"/>
      <c r="D94" s="1230">
        <f>'Jrnl Exp ~ Dép'!AT$6</f>
        <v>5310.4</v>
      </c>
      <c r="E94" s="1231" t="str">
        <f>+'Jrnl Exp ~ Dép'!AT$8</f>
        <v>Disponible ~ Available</v>
      </c>
      <c r="F94" s="1229"/>
      <c r="G94" s="1205">
        <f>'Budget Tracker~Suivi'!G94</f>
        <v>0</v>
      </c>
      <c r="H94" s="1870"/>
      <c r="I94" s="1206">
        <f>'Budget Tracker~Suivi'!I94</f>
        <v>0</v>
      </c>
      <c r="J94" s="1198"/>
      <c r="K94" s="1193"/>
      <c r="L94" s="12"/>
      <c r="M94" s="12"/>
      <c r="N94" s="12"/>
      <c r="O94" s="12"/>
      <c r="P94" s="12"/>
      <c r="Q94" s="12"/>
    </row>
    <row r="95" spans="1:17" ht="33" customHeight="1" thickTop="1" x14ac:dyDescent="0.2">
      <c r="A95" s="12"/>
      <c r="B95" s="1604"/>
      <c r="C95" s="1871">
        <f>'Jrnl Exp ~ Dép'!AU$6</f>
        <v>5315</v>
      </c>
      <c r="D95" s="552"/>
      <c r="E95" s="553" t="str">
        <f>+'Jrnl Exp ~ Dép'!AU$8</f>
        <v>Other training</v>
      </c>
      <c r="F95" s="554" t="s">
        <v>470</v>
      </c>
      <c r="G95" s="525"/>
      <c r="H95" s="1242">
        <f>SUM(G96:G99)</f>
        <v>0</v>
      </c>
      <c r="I95" s="1226">
        <f>SUM(I96:I99)</f>
        <v>0</v>
      </c>
      <c r="J95" s="1242"/>
      <c r="K95" s="1243">
        <f>SUM(K96:K99)</f>
        <v>0</v>
      </c>
      <c r="L95" s="12"/>
      <c r="M95" s="12"/>
      <c r="N95" s="12"/>
      <c r="O95" s="12"/>
      <c r="P95" s="12"/>
      <c r="Q95" s="12"/>
    </row>
    <row r="96" spans="1:17" ht="33" customHeight="1" x14ac:dyDescent="0.2">
      <c r="A96" s="12"/>
      <c r="B96" s="1604"/>
      <c r="C96" s="1872"/>
      <c r="D96" s="1227">
        <f>'Jrnl Exp ~ Dép'!AV$6</f>
        <v>5315.1</v>
      </c>
      <c r="E96" s="1228" t="str">
        <f>+'Jrnl Exp ~ Dép'!AV$8</f>
        <v>Disponible ~ Available</v>
      </c>
      <c r="F96" s="1237"/>
      <c r="G96" s="1212">
        <f>'Budget Tracker~Suivi'!G96</f>
        <v>0</v>
      </c>
      <c r="H96" s="1582"/>
      <c r="I96" s="1207">
        <f>'Budget Tracker~Suivi'!I96</f>
        <v>0</v>
      </c>
      <c r="J96" s="1199"/>
      <c r="K96" s="1193"/>
      <c r="L96" s="12"/>
      <c r="M96" s="12"/>
      <c r="N96" s="12"/>
      <c r="O96" s="12"/>
      <c r="P96" s="12"/>
      <c r="Q96" s="12"/>
    </row>
    <row r="97" spans="1:17" ht="33" customHeight="1" x14ac:dyDescent="0.2">
      <c r="A97" s="12"/>
      <c r="B97" s="1604"/>
      <c r="C97" s="1872"/>
      <c r="D97" s="1227">
        <f>'Jrnl Exp ~ Dép'!AW$6</f>
        <v>5315.2</v>
      </c>
      <c r="E97" s="1228" t="str">
        <f>+'Jrnl Exp ~ Dép'!AW$8</f>
        <v>Disponible ~ Available</v>
      </c>
      <c r="F97" s="1237"/>
      <c r="G97" s="1212">
        <f>'Budget Tracker~Suivi'!G97</f>
        <v>0</v>
      </c>
      <c r="H97" s="1583"/>
      <c r="I97" s="1207">
        <f>'Budget Tracker~Suivi'!I97</f>
        <v>0</v>
      </c>
      <c r="J97" s="1199"/>
      <c r="K97" s="1193"/>
      <c r="L97" s="12"/>
      <c r="M97" s="12"/>
      <c r="N97" s="12"/>
      <c r="O97" s="12"/>
      <c r="P97" s="12"/>
      <c r="Q97" s="12"/>
    </row>
    <row r="98" spans="1:17" ht="33" customHeight="1" x14ac:dyDescent="0.2">
      <c r="A98" s="12"/>
      <c r="B98" s="1604"/>
      <c r="C98" s="1872"/>
      <c r="D98" s="1227">
        <f>'Jrnl Exp ~ Dép'!AX$6</f>
        <v>5315.3</v>
      </c>
      <c r="E98" s="1228" t="str">
        <f>+'Jrnl Exp ~ Dép'!AX$8</f>
        <v>Disponible ~ Available</v>
      </c>
      <c r="F98" s="1237"/>
      <c r="G98" s="1212">
        <f>'Budget Tracker~Suivi'!G98</f>
        <v>0</v>
      </c>
      <c r="H98" s="1583"/>
      <c r="I98" s="1207">
        <f>'Budget Tracker~Suivi'!I98</f>
        <v>0</v>
      </c>
      <c r="J98" s="1199"/>
      <c r="K98" s="1193"/>
      <c r="L98" s="12"/>
      <c r="M98" s="12"/>
      <c r="N98" s="12"/>
      <c r="O98" s="12"/>
      <c r="P98" s="12"/>
      <c r="Q98" s="12"/>
    </row>
    <row r="99" spans="1:17" ht="33" customHeight="1" thickBot="1" x14ac:dyDescent="0.25">
      <c r="A99" s="12"/>
      <c r="B99" s="1604"/>
      <c r="C99" s="1873"/>
      <c r="D99" s="1230">
        <f>'Jrnl Exp ~ Dép'!AY$6</f>
        <v>5315.4</v>
      </c>
      <c r="E99" s="1231" t="str">
        <f>+'Jrnl Exp ~ Dép'!AY$8</f>
        <v>Disponible ~ Available</v>
      </c>
      <c r="F99" s="1247"/>
      <c r="G99" s="1205">
        <f>'Budget Tracker~Suivi'!G99</f>
        <v>0</v>
      </c>
      <c r="H99" s="1870"/>
      <c r="I99" s="1206">
        <f>'Budget Tracker~Suivi'!I99</f>
        <v>0</v>
      </c>
      <c r="J99" s="1198"/>
      <c r="K99" s="1194"/>
      <c r="L99" s="12"/>
      <c r="M99" s="12"/>
      <c r="N99" s="12"/>
      <c r="O99" s="12"/>
      <c r="P99" s="12"/>
      <c r="Q99" s="12"/>
    </row>
    <row r="100" spans="1:17" ht="33" customHeight="1" thickTop="1" x14ac:dyDescent="0.2">
      <c r="A100" s="12"/>
      <c r="B100" s="1604"/>
      <c r="C100" s="532">
        <f>'Jrnl Exp ~ Dép'!AZ$6</f>
        <v>5320</v>
      </c>
      <c r="D100" s="1577"/>
      <c r="E100" s="533" t="str">
        <f>+'Jrnl Exp ~ Dép'!AZ$8</f>
        <v>Training Equipment</v>
      </c>
      <c r="F100" s="555">
        <f>'Budget Tracker~Suivi'!F100</f>
        <v>0</v>
      </c>
      <c r="G100" s="1577"/>
      <c r="H100" s="1208">
        <f>'Budget Tracker~Suivi'!H100</f>
        <v>0</v>
      </c>
      <c r="I100" s="1209">
        <f>'Budget Tracker~Suivi'!I100</f>
        <v>0</v>
      </c>
      <c r="J100" s="1200"/>
      <c r="K100" s="1195"/>
      <c r="L100" s="12"/>
      <c r="M100" s="12"/>
      <c r="N100" s="12"/>
      <c r="O100" s="12"/>
      <c r="P100" s="12"/>
      <c r="Q100" s="12"/>
    </row>
    <row r="101" spans="1:17" ht="25.5" x14ac:dyDescent="0.2">
      <c r="A101" s="12"/>
      <c r="B101" s="1604"/>
      <c r="C101" s="147">
        <f>'Jrnl Exp ~ Dép'!BA$6</f>
        <v>5325</v>
      </c>
      <c r="D101" s="1577"/>
      <c r="E101" s="501" t="str">
        <f>+'Jrnl Exp ~ Dép'!BA$8</f>
        <v>Sports &amp; Phys Ed Related Activities</v>
      </c>
      <c r="F101" s="555" t="str">
        <f>'Budget Tracker~Suivi'!F101</f>
        <v>Including Laser tag, Absailing, Bowling and other commercial activities</v>
      </c>
      <c r="G101" s="1577"/>
      <c r="H101" s="1208">
        <f>'Budget Tracker~Suivi'!H101</f>
        <v>0</v>
      </c>
      <c r="I101" s="1207">
        <f>'Budget Tracker~Suivi'!I101</f>
        <v>0</v>
      </c>
      <c r="J101" s="1199"/>
      <c r="K101" s="1193"/>
      <c r="L101" s="12"/>
      <c r="M101" s="12"/>
      <c r="N101" s="12"/>
      <c r="O101" s="12"/>
      <c r="P101" s="12"/>
      <c r="Q101" s="12"/>
    </row>
    <row r="102" spans="1:17" ht="38.25" x14ac:dyDescent="0.2">
      <c r="A102" s="12"/>
      <c r="B102" s="1604"/>
      <c r="C102" s="147">
        <f>'Jrnl Exp ~ Dép'!BB$6</f>
        <v>5330</v>
      </c>
      <c r="D102" s="1577"/>
      <c r="E102" s="207" t="str">
        <f>+'Jrnl Exp ~ Dép'!BB$8</f>
        <v>Flying and Gliding related outlays</v>
      </c>
      <c r="F102" s="555" t="str">
        <f>'Budget Tracker~Suivi'!F102</f>
        <v>Familiarization: Meals, Trsp - Specialization: Med Certificate, Licence, Exams, Selection, Etc.</v>
      </c>
      <c r="G102" s="1577"/>
      <c r="H102" s="1208">
        <f>'Budget Tracker~Suivi'!H102</f>
        <v>0</v>
      </c>
      <c r="I102" s="1207">
        <f>'Budget Tracker~Suivi'!I102</f>
        <v>0</v>
      </c>
      <c r="J102" s="1199"/>
      <c r="K102" s="1193"/>
      <c r="L102" s="12"/>
      <c r="M102" s="12"/>
      <c r="N102" s="12"/>
      <c r="O102" s="12"/>
      <c r="P102" s="12"/>
      <c r="Q102" s="12"/>
    </row>
    <row r="103" spans="1:17" ht="33" customHeight="1" x14ac:dyDescent="0.2">
      <c r="A103" s="12"/>
      <c r="B103" s="1604"/>
      <c r="C103" s="147">
        <f>'Jrnl Exp ~ Dép'!BC$6</f>
        <v>5335</v>
      </c>
      <c r="D103" s="1577"/>
      <c r="E103" s="207" t="str">
        <f>+'Jrnl Exp ~ Dép'!BC$8</f>
        <v>Community Service</v>
      </c>
      <c r="F103" s="555">
        <f>'Budget Tracker~Suivi'!F103</f>
        <v>0</v>
      </c>
      <c r="G103" s="1577"/>
      <c r="H103" s="1208">
        <f>'Budget Tracker~Suivi'!H103</f>
        <v>0</v>
      </c>
      <c r="I103" s="1207">
        <f>'Budget Tracker~Suivi'!I103</f>
        <v>0</v>
      </c>
      <c r="J103" s="1199"/>
      <c r="K103" s="1193"/>
      <c r="L103" s="12"/>
      <c r="M103" s="12"/>
      <c r="N103" s="12"/>
      <c r="O103" s="12"/>
      <c r="P103" s="12"/>
      <c r="Q103" s="12"/>
    </row>
    <row r="104" spans="1:17" ht="33" customHeight="1" x14ac:dyDescent="0.2">
      <c r="A104" s="12"/>
      <c r="B104" s="1604"/>
      <c r="C104" s="147">
        <f>'Jrnl Exp ~ Dép'!BD$6</f>
        <v>5340</v>
      </c>
      <c r="D104" s="1577"/>
      <c r="E104" s="207" t="str">
        <f>+'Jrnl Exp ~ Dép'!BD$8</f>
        <v>Shooting Pgm</v>
      </c>
      <c r="F104" s="555" t="str">
        <f>'Budget Tracker~Suivi'!F104</f>
        <v>Familiarization only</v>
      </c>
      <c r="G104" s="1577"/>
      <c r="H104" s="1208">
        <f>'Budget Tracker~Suivi'!H104</f>
        <v>0</v>
      </c>
      <c r="I104" s="1207">
        <f>'Budget Tracker~Suivi'!I104</f>
        <v>0</v>
      </c>
      <c r="J104" s="1199"/>
      <c r="K104" s="1193"/>
      <c r="L104" s="12"/>
      <c r="M104" s="12"/>
      <c r="N104" s="12"/>
      <c r="O104" s="12"/>
      <c r="P104" s="12"/>
      <c r="Q104" s="12"/>
    </row>
    <row r="105" spans="1:17" ht="33" customHeight="1" x14ac:dyDescent="0.2">
      <c r="A105" s="12"/>
      <c r="B105" s="1604"/>
      <c r="C105" s="147">
        <f>'Jrnl Exp ~ Dép'!BE$6</f>
        <v>5345</v>
      </c>
      <c r="D105" s="1577"/>
      <c r="E105" s="207" t="str">
        <f>+'Jrnl Exp ~ Dép'!BE$8</f>
        <v>Aviation Day</v>
      </c>
      <c r="F105" s="555">
        <f>'Budget Tracker~Suivi'!F105</f>
        <v>0</v>
      </c>
      <c r="G105" s="1577"/>
      <c r="H105" s="1208">
        <f>'Budget Tracker~Suivi'!H105</f>
        <v>0</v>
      </c>
      <c r="I105" s="1207">
        <f>'Budget Tracker~Suivi'!I105</f>
        <v>0</v>
      </c>
      <c r="J105" s="1199"/>
      <c r="K105" s="1193"/>
      <c r="L105" s="12"/>
      <c r="M105" s="12"/>
      <c r="N105" s="12"/>
      <c r="O105" s="12"/>
      <c r="P105" s="12"/>
      <c r="Q105" s="12"/>
    </row>
    <row r="106" spans="1:17" ht="33" customHeight="1" x14ac:dyDescent="0.2">
      <c r="A106" s="12"/>
      <c r="B106" s="1604"/>
      <c r="C106" s="147">
        <f>'Jrnl Exp ~ Dép'!BF$6</f>
        <v>5350</v>
      </c>
      <c r="D106" s="1577"/>
      <c r="E106" s="501" t="str">
        <f>+'Jrnl Exp ~ Dép'!BF$8</f>
        <v>Mess Dinner</v>
      </c>
      <c r="F106" s="555">
        <f>'Budget Tracker~Suivi'!F106</f>
        <v>0</v>
      </c>
      <c r="G106" s="1577"/>
      <c r="H106" s="1208">
        <f>'Budget Tracker~Suivi'!H106</f>
        <v>0</v>
      </c>
      <c r="I106" s="1207">
        <f>'Budget Tracker~Suivi'!I106</f>
        <v>0</v>
      </c>
      <c r="J106" s="1199"/>
      <c r="K106" s="1193"/>
      <c r="L106" s="12"/>
      <c r="M106" s="12"/>
      <c r="N106" s="12"/>
      <c r="O106" s="12"/>
      <c r="P106" s="12"/>
      <c r="Q106" s="12"/>
    </row>
    <row r="107" spans="1:17" ht="33" customHeight="1" x14ac:dyDescent="0.2">
      <c r="A107" s="12"/>
      <c r="B107" s="1604"/>
      <c r="C107" s="147">
        <f>'Jrnl Exp ~ Dép'!BG$6</f>
        <v>5355</v>
      </c>
      <c r="D107" s="1577"/>
      <c r="E107" s="501" t="str">
        <f>+'Jrnl Exp ~ Dép'!BG$8</f>
        <v>Ground School</v>
      </c>
      <c r="F107" s="555">
        <f>'Budget Tracker~Suivi'!F107</f>
        <v>0</v>
      </c>
      <c r="G107" s="1577"/>
      <c r="H107" s="1208">
        <f>'Budget Tracker~Suivi'!H107</f>
        <v>0</v>
      </c>
      <c r="I107" s="1207">
        <f>'Budget Tracker~Suivi'!I107</f>
        <v>0</v>
      </c>
      <c r="J107" s="1199"/>
      <c r="K107" s="1193"/>
      <c r="L107" s="12"/>
      <c r="M107" s="12"/>
      <c r="N107" s="12"/>
      <c r="O107" s="12"/>
      <c r="P107" s="12"/>
      <c r="Q107" s="12"/>
    </row>
    <row r="108" spans="1:17" ht="33" customHeight="1" x14ac:dyDescent="0.2">
      <c r="A108" s="12"/>
      <c r="B108" s="1604"/>
      <c r="C108" s="526">
        <f>'Jrnl Exp ~ Dép'!BH$6</f>
        <v>5360</v>
      </c>
      <c r="D108" s="1577"/>
      <c r="E108" s="527" t="str">
        <f>+'Jrnl Exp ~ Dép'!BH$8</f>
        <v>Disponible ~ Available</v>
      </c>
      <c r="F108" s="555">
        <f>'Budget Tracker~Suivi'!F108</f>
        <v>0</v>
      </c>
      <c r="G108" s="1577"/>
      <c r="H108" s="1208">
        <f>'Budget Tracker~Suivi'!H108</f>
        <v>0</v>
      </c>
      <c r="I108" s="1207">
        <f>'Budget Tracker~Suivi'!I108</f>
        <v>0</v>
      </c>
      <c r="J108" s="1201"/>
      <c r="K108" s="1193"/>
      <c r="L108" s="12"/>
      <c r="M108" s="12"/>
      <c r="N108" s="12"/>
      <c r="O108" s="12"/>
      <c r="P108" s="12"/>
      <c r="Q108" s="12"/>
    </row>
    <row r="109" spans="1:17" ht="33" customHeight="1" x14ac:dyDescent="0.2">
      <c r="A109" s="12"/>
      <c r="B109" s="1604"/>
      <c r="C109" s="526">
        <f>'Jrnl Exp ~ Dép'!BI$6</f>
        <v>5365</v>
      </c>
      <c r="D109" s="1577"/>
      <c r="E109" s="527" t="str">
        <f>+'Jrnl Exp ~ Dép'!BI$8</f>
        <v>Disponible ~ Available</v>
      </c>
      <c r="F109" s="555">
        <f>'Budget Tracker~Suivi'!F109</f>
        <v>0</v>
      </c>
      <c r="G109" s="1577"/>
      <c r="H109" s="1208">
        <f>'Budget Tracker~Suivi'!H109</f>
        <v>0</v>
      </c>
      <c r="I109" s="1207">
        <f>'Budget Tracker~Suivi'!I109</f>
        <v>0</v>
      </c>
      <c r="J109" s="1201"/>
      <c r="K109" s="1193"/>
      <c r="L109" s="12"/>
      <c r="M109" s="12"/>
      <c r="N109" s="12"/>
      <c r="O109" s="12"/>
      <c r="P109" s="12"/>
      <c r="Q109" s="12"/>
    </row>
    <row r="110" spans="1:17" ht="33" customHeight="1" x14ac:dyDescent="0.2">
      <c r="A110" s="12"/>
      <c r="B110" s="1604"/>
      <c r="C110" s="526">
        <f>'Jrnl Exp ~ Dép'!BJ$6</f>
        <v>5370</v>
      </c>
      <c r="D110" s="1577"/>
      <c r="E110" s="527" t="str">
        <f>+'Jrnl Exp ~ Dép'!BJ$8</f>
        <v>Disponible ~ Available</v>
      </c>
      <c r="F110" s="555">
        <f>'Budget Tracker~Suivi'!F110</f>
        <v>0</v>
      </c>
      <c r="G110" s="1577"/>
      <c r="H110" s="1208">
        <f>'Budget Tracker~Suivi'!H110</f>
        <v>0</v>
      </c>
      <c r="I110" s="1207">
        <f>'Budget Tracker~Suivi'!I110</f>
        <v>0</v>
      </c>
      <c r="J110" s="1201"/>
      <c r="K110" s="1193"/>
      <c r="L110" s="12"/>
      <c r="M110" s="12"/>
      <c r="N110" s="12"/>
      <c r="O110" s="12"/>
      <c r="P110" s="12"/>
      <c r="Q110" s="12"/>
    </row>
    <row r="111" spans="1:17" ht="33" customHeight="1" x14ac:dyDescent="0.2">
      <c r="A111" s="12"/>
      <c r="B111" s="1604"/>
      <c r="C111" s="526">
        <f>'Jrnl Exp ~ Dép'!BK$6</f>
        <v>5375</v>
      </c>
      <c r="D111" s="1577"/>
      <c r="E111" s="527" t="str">
        <f>+'Jrnl Exp ~ Dép'!BK$8</f>
        <v>Disponible ~ Available</v>
      </c>
      <c r="F111" s="555">
        <f>'Budget Tracker~Suivi'!F111</f>
        <v>0</v>
      </c>
      <c r="G111" s="1577"/>
      <c r="H111" s="1208">
        <f>'Budget Tracker~Suivi'!H111</f>
        <v>0</v>
      </c>
      <c r="I111" s="1207">
        <f>'Budget Tracker~Suivi'!I111</f>
        <v>0</v>
      </c>
      <c r="J111" s="1201"/>
      <c r="K111" s="1193"/>
      <c r="L111" s="12"/>
      <c r="M111" s="12"/>
      <c r="N111" s="12"/>
      <c r="O111" s="12"/>
      <c r="P111" s="12"/>
      <c r="Q111" s="12"/>
    </row>
    <row r="112" spans="1:17" ht="33" customHeight="1" thickBot="1" x14ac:dyDescent="0.25">
      <c r="A112" s="12"/>
      <c r="B112" s="1604"/>
      <c r="C112" s="526">
        <f>'Jrnl Exp ~ Dép'!BL$6</f>
        <v>5380</v>
      </c>
      <c r="D112" s="1577"/>
      <c r="E112" s="527" t="str">
        <f>+'Jrnl Exp ~ Dép'!BL$8</f>
        <v>Disponible ~ Available</v>
      </c>
      <c r="F112" s="555">
        <f>'Budget Tracker~Suivi'!F112</f>
        <v>0</v>
      </c>
      <c r="G112" s="1577"/>
      <c r="H112" s="1205">
        <f>'Budget Tracker~Suivi'!H112</f>
        <v>0</v>
      </c>
      <c r="I112" s="1206">
        <f>'Budget Tracker~Suivi'!I112</f>
        <v>0</v>
      </c>
      <c r="J112" s="1201"/>
      <c r="K112" s="1194"/>
      <c r="L112" s="12"/>
      <c r="M112" s="12"/>
      <c r="N112" s="12"/>
      <c r="O112" s="12"/>
      <c r="P112" s="12"/>
      <c r="Q112" s="12"/>
    </row>
    <row r="113" spans="1:17" ht="26.25" thickTop="1" x14ac:dyDescent="0.2">
      <c r="A113" s="12"/>
      <c r="B113" s="1607" t="str">
        <f>CONCATENATE('Jrnl Exp ~ Dép'!BM4," - ",'Jrnl Exp ~ Dép'!BM5)</f>
        <v>5400 - DND Supported Optional Trg/Activities Expenses</v>
      </c>
      <c r="C113" s="558">
        <f>'Jrnl Exp ~ Dép'!BM$6</f>
        <v>5410</v>
      </c>
      <c r="D113" s="1578"/>
      <c r="E113" s="559" t="str">
        <f>+'Jrnl Exp ~ Dép'!BM$8</f>
        <v>Band</v>
      </c>
      <c r="F113" s="560" t="str">
        <f>'Budget Tracker~Suivi'!F113</f>
        <v>Instruments, Accessories, Competitions, Meals, Trsp, Instructors, Rental, etc.</v>
      </c>
      <c r="G113" s="561"/>
      <c r="H113" s="1208">
        <f>'Budget Tracker~Suivi'!H113</f>
        <v>0</v>
      </c>
      <c r="I113" s="1209">
        <f>'Budget Tracker~Suivi'!I113</f>
        <v>0</v>
      </c>
      <c r="J113" s="1197"/>
      <c r="K113" s="1195"/>
      <c r="L113" s="12"/>
      <c r="M113" s="12"/>
      <c r="N113" s="12"/>
      <c r="O113" s="12"/>
      <c r="P113" s="12"/>
      <c r="Q113" s="12"/>
    </row>
    <row r="114" spans="1:17" ht="33" customHeight="1" x14ac:dyDescent="0.2">
      <c r="A114" s="12"/>
      <c r="B114" s="1608"/>
      <c r="C114" s="526">
        <f>'Jrnl Exp ~ Dép'!BN$6</f>
        <v>5415</v>
      </c>
      <c r="D114" s="1577"/>
      <c r="E114" s="527" t="str">
        <f>+'Jrnl Exp ~ Dép'!BN$8</f>
        <v>Drill Team</v>
      </c>
      <c r="F114" s="556" t="str">
        <f>'Budget Tracker~Suivi'!F114</f>
        <v>Rental, Meals, Trsp, Competitions, Clothing, etc.</v>
      </c>
      <c r="G114" s="562"/>
      <c r="H114" s="1208">
        <f>'Budget Tracker~Suivi'!H114</f>
        <v>0</v>
      </c>
      <c r="I114" s="1207">
        <f>'Budget Tracker~Suivi'!I114</f>
        <v>0</v>
      </c>
      <c r="J114" s="1199"/>
      <c r="K114" s="1193"/>
      <c r="L114" s="12"/>
      <c r="M114" s="12"/>
      <c r="N114" s="12"/>
      <c r="O114" s="12"/>
      <c r="P114" s="12"/>
      <c r="Q114" s="12"/>
    </row>
    <row r="115" spans="1:17" ht="33" customHeight="1" x14ac:dyDescent="0.2">
      <c r="A115" s="12"/>
      <c r="B115" s="1608"/>
      <c r="C115" s="526">
        <f>'Jrnl Exp ~ Dép'!BO$6</f>
        <v>5420</v>
      </c>
      <c r="D115" s="1577"/>
      <c r="E115" s="527" t="str">
        <f>+'Jrnl Exp ~ Dép'!BO$8</f>
        <v>Marksmanship</v>
      </c>
      <c r="F115" s="556" t="str">
        <f>'Budget Tracker~Suivi'!F115</f>
        <v>Rental, Meals, Trsp, Equipments, Competitions, etc.</v>
      </c>
      <c r="G115" s="562"/>
      <c r="H115" s="1208">
        <f>'Budget Tracker~Suivi'!H115</f>
        <v>0</v>
      </c>
      <c r="I115" s="1207">
        <f>'Budget Tracker~Suivi'!I115</f>
        <v>0</v>
      </c>
      <c r="J115" s="1199"/>
      <c r="K115" s="1193"/>
      <c r="L115" s="12"/>
      <c r="M115" s="12"/>
      <c r="N115" s="12"/>
      <c r="O115" s="12"/>
      <c r="P115" s="12"/>
      <c r="Q115" s="12"/>
    </row>
    <row r="116" spans="1:17" ht="33" customHeight="1" x14ac:dyDescent="0.2">
      <c r="A116" s="12"/>
      <c r="B116" s="1608"/>
      <c r="C116" s="526">
        <f>'Jrnl Exp ~ Dép'!BP$6</f>
        <v>5425</v>
      </c>
      <c r="D116" s="1577"/>
      <c r="E116" s="527" t="str">
        <f>+'Jrnl Exp ~ Dép'!BP$8</f>
        <v>Biathlon</v>
      </c>
      <c r="F116" s="556" t="str">
        <f>'Budget Tracker~Suivi'!F116</f>
        <v>Rental, Meals, Trsp, Equipments, Competitions, etc.</v>
      </c>
      <c r="G116" s="562"/>
      <c r="H116" s="1208">
        <f>'Budget Tracker~Suivi'!H116</f>
        <v>0</v>
      </c>
      <c r="I116" s="1207">
        <f>'Budget Tracker~Suivi'!I116</f>
        <v>0</v>
      </c>
      <c r="J116" s="1199"/>
      <c r="K116" s="1193"/>
      <c r="L116" s="12"/>
      <c r="M116" s="12"/>
      <c r="N116" s="12"/>
      <c r="O116" s="12"/>
      <c r="P116" s="12"/>
      <c r="Q116" s="12"/>
    </row>
    <row r="117" spans="1:17" ht="33" customHeight="1" x14ac:dyDescent="0.2">
      <c r="A117" s="12"/>
      <c r="B117" s="1608"/>
      <c r="C117" s="526">
        <f>'Jrnl Exp ~ Dép'!BQ$6</f>
        <v>5430</v>
      </c>
      <c r="D117" s="1577"/>
      <c r="E117" s="527" t="str">
        <f>+'Jrnl Exp ~ Dép'!BQ$8</f>
        <v>Effective Speaking</v>
      </c>
      <c r="F117" s="556" t="str">
        <f>'Budget Tracker~Suivi'!F117</f>
        <v>Rental, Meals, Trsp, Supplies, Competitions etc.</v>
      </c>
      <c r="G117" s="562"/>
      <c r="H117" s="1208">
        <f>'Budget Tracker~Suivi'!H117</f>
        <v>0</v>
      </c>
      <c r="I117" s="1207">
        <f>'Budget Tracker~Suivi'!I117</f>
        <v>0</v>
      </c>
      <c r="J117" s="1199"/>
      <c r="K117" s="1193"/>
      <c r="L117" s="12"/>
      <c r="M117" s="12"/>
      <c r="N117" s="12"/>
      <c r="O117" s="12"/>
      <c r="P117" s="12"/>
      <c r="Q117" s="12"/>
    </row>
    <row r="118" spans="1:17" ht="33" customHeight="1" x14ac:dyDescent="0.2">
      <c r="A118" s="12"/>
      <c r="B118" s="1608"/>
      <c r="C118" s="526">
        <f>'Jrnl Exp ~ Dép'!BR$6</f>
        <v>5435</v>
      </c>
      <c r="D118" s="1577"/>
      <c r="E118" s="527" t="str">
        <f>+'Jrnl Exp ~ Dép'!BR$8</f>
        <v>Disponible ~ Available</v>
      </c>
      <c r="F118" s="556">
        <f>'Budget Tracker~Suivi'!F118</f>
        <v>0</v>
      </c>
      <c r="G118" s="562"/>
      <c r="H118" s="1208">
        <f>'Budget Tracker~Suivi'!H118</f>
        <v>0</v>
      </c>
      <c r="I118" s="1207">
        <f>'Budget Tracker~Suivi'!I118</f>
        <v>0</v>
      </c>
      <c r="J118" s="1199"/>
      <c r="K118" s="1193"/>
      <c r="L118" s="12"/>
      <c r="M118" s="12"/>
      <c r="N118" s="12"/>
      <c r="O118" s="12"/>
      <c r="P118" s="12"/>
      <c r="Q118" s="12"/>
    </row>
    <row r="119" spans="1:17" ht="33" customHeight="1" x14ac:dyDescent="0.2">
      <c r="A119" s="12"/>
      <c r="B119" s="1608"/>
      <c r="C119" s="526">
        <f>'Jrnl Exp ~ Dép'!BS$6</f>
        <v>5440</v>
      </c>
      <c r="D119" s="1577"/>
      <c r="E119" s="527" t="str">
        <f>+'Jrnl Exp ~ Dép'!BS$8</f>
        <v>Disponible ~ Available</v>
      </c>
      <c r="F119" s="556">
        <f>'Budget Tracker~Suivi'!F119</f>
        <v>0</v>
      </c>
      <c r="G119" s="562"/>
      <c r="H119" s="1208">
        <f>'Budget Tracker~Suivi'!H119</f>
        <v>0</v>
      </c>
      <c r="I119" s="1207">
        <f>'Budget Tracker~Suivi'!I119</f>
        <v>0</v>
      </c>
      <c r="J119" s="1199"/>
      <c r="K119" s="1193"/>
      <c r="L119" s="12"/>
      <c r="M119" s="12"/>
      <c r="N119" s="12"/>
      <c r="O119" s="12"/>
      <c r="P119" s="12"/>
      <c r="Q119" s="12"/>
    </row>
    <row r="120" spans="1:17" ht="33" customHeight="1" x14ac:dyDescent="0.2">
      <c r="A120" s="12"/>
      <c r="B120" s="1608"/>
      <c r="C120" s="526">
        <f>'Jrnl Exp ~ Dép'!BT$6</f>
        <v>5445</v>
      </c>
      <c r="D120" s="1577"/>
      <c r="E120" s="527" t="str">
        <f>+'Jrnl Exp ~ Dép'!BT$8</f>
        <v>Disponible ~ Available</v>
      </c>
      <c r="F120" s="556">
        <f>'Budget Tracker~Suivi'!F120</f>
        <v>0</v>
      </c>
      <c r="G120" s="562"/>
      <c r="H120" s="1208">
        <f>'Budget Tracker~Suivi'!H120</f>
        <v>0</v>
      </c>
      <c r="I120" s="1207">
        <f>'Budget Tracker~Suivi'!I120</f>
        <v>0</v>
      </c>
      <c r="J120" s="1199"/>
      <c r="K120" s="1193"/>
      <c r="L120" s="12"/>
      <c r="M120" s="12"/>
      <c r="N120" s="12"/>
      <c r="O120" s="12"/>
      <c r="P120" s="12"/>
      <c r="Q120" s="12"/>
    </row>
    <row r="121" spans="1:17" ht="33" customHeight="1" x14ac:dyDescent="0.2">
      <c r="A121" s="12"/>
      <c r="B121" s="1608"/>
      <c r="C121" s="526">
        <f>'Jrnl Exp ~ Dép'!BU$6</f>
        <v>5450</v>
      </c>
      <c r="D121" s="1577"/>
      <c r="E121" s="527" t="str">
        <f>+'Jrnl Exp ~ Dép'!BU$8</f>
        <v>Disponible ~ Available</v>
      </c>
      <c r="F121" s="556">
        <f>'Budget Tracker~Suivi'!F121</f>
        <v>0</v>
      </c>
      <c r="G121" s="562"/>
      <c r="H121" s="1208">
        <f>'Budget Tracker~Suivi'!H121</f>
        <v>0</v>
      </c>
      <c r="I121" s="1207">
        <f>'Budget Tracker~Suivi'!I121</f>
        <v>0</v>
      </c>
      <c r="J121" s="1199"/>
      <c r="K121" s="1193"/>
      <c r="L121" s="12"/>
      <c r="M121" s="12"/>
      <c r="N121" s="12"/>
      <c r="O121" s="12"/>
      <c r="P121" s="12"/>
      <c r="Q121" s="12"/>
    </row>
    <row r="122" spans="1:17" ht="33" customHeight="1" thickBot="1" x14ac:dyDescent="0.25">
      <c r="A122" s="12"/>
      <c r="B122" s="1609"/>
      <c r="C122" s="541">
        <f>'Jrnl Exp ~ Dép'!BV$6</f>
        <v>5455</v>
      </c>
      <c r="D122" s="1579"/>
      <c r="E122" s="542" t="str">
        <f>+'Jrnl Exp ~ Dép'!BV$8</f>
        <v>Disponible ~ Available</v>
      </c>
      <c r="F122" s="563">
        <f>'Budget Tracker~Suivi'!F122</f>
        <v>0</v>
      </c>
      <c r="G122" s="564"/>
      <c r="H122" s="1208">
        <f>'Budget Tracker~Suivi'!H122</f>
        <v>0</v>
      </c>
      <c r="I122" s="1207">
        <f>'Budget Tracker~Suivi'!I122</f>
        <v>0</v>
      </c>
      <c r="J122" s="1198"/>
      <c r="K122" s="1193"/>
      <c r="L122" s="12"/>
      <c r="M122" s="12"/>
      <c r="N122" s="12"/>
      <c r="O122" s="12"/>
      <c r="P122" s="12"/>
      <c r="Q122" s="12"/>
    </row>
    <row r="123" spans="1:17" ht="33" customHeight="1" thickTop="1" x14ac:dyDescent="0.2">
      <c r="A123" s="12"/>
      <c r="B123" s="1603" t="str">
        <f>CONCATENATE('Jrnl Exp ~ Dép'!BW4," - ",'Jrnl Exp ~ Dép'!BW5)</f>
        <v>5500 - DND Non-Supported Trg/Activities Expenses</v>
      </c>
      <c r="C123" s="1871">
        <f>'Jrnl Exp ~ Dép'!BW$6</f>
        <v>5510</v>
      </c>
      <c r="D123" s="565"/>
      <c r="E123" s="559" t="str">
        <f>+'Jrnl Exp ~ Dép'!BW$8</f>
        <v>Cadet Banquets and Special Events</v>
      </c>
      <c r="F123" s="554" t="str">
        <f>IF(K29=2,"5510 TOTAL","5510 TOTAL")</f>
        <v>5510 TOTAL</v>
      </c>
      <c r="G123" s="561"/>
      <c r="H123" s="1244">
        <f>SUM(G124:G130)</f>
        <v>0</v>
      </c>
      <c r="I123" s="1245">
        <f>SUM(I124:I130)</f>
        <v>0</v>
      </c>
      <c r="J123" s="1244"/>
      <c r="K123" s="1246">
        <f>SUM(K124:K130)</f>
        <v>0</v>
      </c>
      <c r="L123" s="12"/>
      <c r="M123" s="12"/>
      <c r="N123" s="12"/>
      <c r="O123" s="12"/>
      <c r="P123" s="12"/>
      <c r="Q123" s="12"/>
    </row>
    <row r="124" spans="1:17" ht="33" customHeight="1" x14ac:dyDescent="0.2">
      <c r="A124" s="12"/>
      <c r="B124" s="1604"/>
      <c r="C124" s="1872"/>
      <c r="D124" s="1227">
        <f>'Jrnl Exp ~ Dép'!BX$6</f>
        <v>5510.1</v>
      </c>
      <c r="E124" s="1228" t="str">
        <f>'Jrnl Exp ~ Dép'!BX$8</f>
        <v>Annual
Banquet</v>
      </c>
      <c r="F124" s="1229"/>
      <c r="G124" s="1212">
        <f>'Budget Tracker~Suivi'!G124</f>
        <v>0</v>
      </c>
      <c r="H124" s="1585"/>
      <c r="I124" s="1207">
        <f>'Budget Tracker~Suivi'!I124</f>
        <v>0</v>
      </c>
      <c r="J124" s="1199"/>
      <c r="K124" s="1193"/>
      <c r="L124" s="12"/>
      <c r="M124" s="12"/>
      <c r="N124" s="12"/>
      <c r="O124" s="12"/>
      <c r="P124" s="12"/>
      <c r="Q124" s="12"/>
    </row>
    <row r="125" spans="1:17" ht="33" customHeight="1" x14ac:dyDescent="0.2">
      <c r="A125" s="12"/>
      <c r="B125" s="1604"/>
      <c r="C125" s="1872"/>
      <c r="D125" s="1227">
        <f>'Jrnl Exp ~ Dép'!BY$6</f>
        <v>5510.2</v>
      </c>
      <c r="E125" s="1228" t="str">
        <f>'Jrnl Exp ~ Dép'!BY$8</f>
        <v>Disponible ~ Available</v>
      </c>
      <c r="F125" s="1229"/>
      <c r="G125" s="1212">
        <f>'Budget Tracker~Suivi'!G125</f>
        <v>0</v>
      </c>
      <c r="H125" s="1586"/>
      <c r="I125" s="1207">
        <f>'Budget Tracker~Suivi'!I125</f>
        <v>0</v>
      </c>
      <c r="J125" s="1199"/>
      <c r="K125" s="1193"/>
      <c r="L125" s="12"/>
      <c r="M125" s="12"/>
      <c r="N125" s="12"/>
      <c r="O125" s="12"/>
      <c r="P125" s="12"/>
      <c r="Q125" s="12"/>
    </row>
    <row r="126" spans="1:17" ht="33" customHeight="1" x14ac:dyDescent="0.2">
      <c r="A126" s="12"/>
      <c r="B126" s="1604"/>
      <c r="C126" s="1872"/>
      <c r="D126" s="1227">
        <f>'Jrnl Exp ~ Dép'!BZ$6</f>
        <v>5510.3</v>
      </c>
      <c r="E126" s="1228" t="str">
        <f>'Jrnl Exp ~ Dép'!BZ$8</f>
        <v>Disponible ~ Available</v>
      </c>
      <c r="F126" s="1229"/>
      <c r="G126" s="1212">
        <f>'Budget Tracker~Suivi'!G126</f>
        <v>0</v>
      </c>
      <c r="H126" s="1586"/>
      <c r="I126" s="1207">
        <f>'Budget Tracker~Suivi'!I126</f>
        <v>0</v>
      </c>
      <c r="J126" s="1199"/>
      <c r="K126" s="1193"/>
      <c r="L126" s="12"/>
      <c r="M126" s="12"/>
      <c r="N126" s="12"/>
      <c r="O126" s="12"/>
      <c r="P126" s="12"/>
      <c r="Q126" s="12"/>
    </row>
    <row r="127" spans="1:17" ht="33" customHeight="1" x14ac:dyDescent="0.2">
      <c r="A127" s="12"/>
      <c r="B127" s="1604"/>
      <c r="C127" s="1872"/>
      <c r="D127" s="1227">
        <f>'Jrnl Exp ~ Dép'!CA$6</f>
        <v>5510.4</v>
      </c>
      <c r="E127" s="1228" t="str">
        <f>'Jrnl Exp ~ Dép'!CA$8</f>
        <v>Disponible ~ Available</v>
      </c>
      <c r="F127" s="1229"/>
      <c r="G127" s="1212">
        <f>'Budget Tracker~Suivi'!G127</f>
        <v>0</v>
      </c>
      <c r="H127" s="1586"/>
      <c r="I127" s="1207">
        <f>'Budget Tracker~Suivi'!I127</f>
        <v>0</v>
      </c>
      <c r="J127" s="1199"/>
      <c r="K127" s="1193"/>
      <c r="L127" s="12"/>
      <c r="M127" s="12"/>
      <c r="N127" s="12"/>
      <c r="O127" s="12"/>
      <c r="P127" s="12"/>
      <c r="Q127" s="12"/>
    </row>
    <row r="128" spans="1:17" ht="33" customHeight="1" x14ac:dyDescent="0.2">
      <c r="A128" s="12"/>
      <c r="B128" s="1604"/>
      <c r="C128" s="1872"/>
      <c r="D128" s="1227">
        <f>'Jrnl Exp ~ Dép'!CB$6</f>
        <v>5510.5</v>
      </c>
      <c r="E128" s="1228" t="str">
        <f>'Jrnl Exp ~ Dép'!CB$8</f>
        <v>Disponible ~ Available</v>
      </c>
      <c r="F128" s="1229"/>
      <c r="G128" s="1212">
        <f>'Budget Tracker~Suivi'!G128</f>
        <v>0</v>
      </c>
      <c r="H128" s="1586"/>
      <c r="I128" s="1207">
        <f>'Budget Tracker~Suivi'!I128</f>
        <v>0</v>
      </c>
      <c r="J128" s="1199"/>
      <c r="K128" s="1193"/>
      <c r="L128" s="12"/>
      <c r="M128" s="12"/>
      <c r="N128" s="12"/>
      <c r="O128" s="12"/>
      <c r="P128" s="12"/>
      <c r="Q128" s="12"/>
    </row>
    <row r="129" spans="1:17" ht="33" customHeight="1" x14ac:dyDescent="0.2">
      <c r="A129" s="12"/>
      <c r="B129" s="1604"/>
      <c r="C129" s="1872"/>
      <c r="D129" s="1227">
        <f>'Jrnl Exp ~ Dép'!CC$6</f>
        <v>5510.6</v>
      </c>
      <c r="E129" s="1228" t="str">
        <f>'Jrnl Exp ~ Dép'!CC$8</f>
        <v>Disponible ~ Available</v>
      </c>
      <c r="F129" s="1229"/>
      <c r="G129" s="1212">
        <f>'Budget Tracker~Suivi'!G129</f>
        <v>0</v>
      </c>
      <c r="H129" s="1586"/>
      <c r="I129" s="1207">
        <f>'Budget Tracker~Suivi'!I129</f>
        <v>0</v>
      </c>
      <c r="J129" s="1199"/>
      <c r="K129" s="1193"/>
      <c r="L129" s="12"/>
      <c r="M129" s="12"/>
      <c r="N129" s="12"/>
      <c r="O129" s="12"/>
      <c r="P129" s="12"/>
      <c r="Q129" s="12"/>
    </row>
    <row r="130" spans="1:17" ht="33" customHeight="1" thickBot="1" x14ac:dyDescent="0.25">
      <c r="A130" s="12"/>
      <c r="B130" s="1604"/>
      <c r="C130" s="1873"/>
      <c r="D130" s="1230">
        <f>'Jrnl Exp ~ Dép'!CD$6</f>
        <v>5510.7</v>
      </c>
      <c r="E130" s="1231" t="str">
        <f>'Jrnl Exp ~ Dép'!CD$8</f>
        <v>Disponible ~ Available</v>
      </c>
      <c r="F130" s="1247"/>
      <c r="G130" s="1205">
        <f>'Budget Tracker~Suivi'!G130</f>
        <v>0</v>
      </c>
      <c r="H130" s="1866"/>
      <c r="I130" s="1206">
        <f>'Budget Tracker~Suivi'!I130</f>
        <v>0</v>
      </c>
      <c r="J130" s="1198"/>
      <c r="K130" s="1194"/>
      <c r="L130" s="12"/>
      <c r="M130" s="12"/>
      <c r="N130" s="12"/>
      <c r="O130" s="12"/>
      <c r="P130" s="12"/>
      <c r="Q130" s="12"/>
    </row>
    <row r="131" spans="1:17" ht="33" customHeight="1" thickTop="1" x14ac:dyDescent="0.2">
      <c r="A131" s="12"/>
      <c r="B131" s="1604"/>
      <c r="C131" s="532">
        <f>'Jrnl Exp ~ Dép'!CE$6</f>
        <v>5515</v>
      </c>
      <c r="D131" s="1611"/>
      <c r="E131" s="533" t="str">
        <f>+'Jrnl Exp ~ Dép'!CE$8</f>
        <v>Annual Ceremonial Review</v>
      </c>
      <c r="F131" s="503" t="str">
        <f>'Budget Tracker~Suivi'!F131</f>
        <v>Rental, Food, Trsp, etc.</v>
      </c>
      <c r="G131" s="1573"/>
      <c r="H131" s="1203">
        <f>'Budget Tracker~Suivi'!H131</f>
        <v>0</v>
      </c>
      <c r="I131" s="1209">
        <f>'Budget Tracker~Suivi'!I131</f>
        <v>0</v>
      </c>
      <c r="J131" s="1200"/>
      <c r="K131" s="1195"/>
      <c r="L131" s="12"/>
      <c r="M131" s="12"/>
      <c r="N131" s="12"/>
      <c r="O131" s="12"/>
      <c r="P131" s="12"/>
      <c r="Q131" s="12"/>
    </row>
    <row r="132" spans="1:17" ht="33" customHeight="1" x14ac:dyDescent="0.2">
      <c r="A132" s="12"/>
      <c r="B132" s="1604"/>
      <c r="C132" s="147">
        <f>'Jrnl Exp ~ Dép'!CF$6</f>
        <v>5520</v>
      </c>
      <c r="D132" s="1611"/>
      <c r="E132" s="501" t="str">
        <f>+'Jrnl Exp ~ Dép'!CF$8</f>
        <v>Honours &amp; Award</v>
      </c>
      <c r="F132" s="503" t="str">
        <f>'Budget Tracker~Suivi'!F132</f>
        <v>Trophies, Plaques, Gifts for guests, etc.</v>
      </c>
      <c r="G132" s="1573"/>
      <c r="H132" s="1212">
        <f>'Budget Tracker~Suivi'!H132</f>
        <v>0</v>
      </c>
      <c r="I132" s="1207">
        <f>'Budget Tracker~Suivi'!I132</f>
        <v>0</v>
      </c>
      <c r="J132" s="1199"/>
      <c r="K132" s="1193"/>
      <c r="L132" s="12"/>
      <c r="M132" s="12"/>
      <c r="N132" s="12"/>
      <c r="O132" s="12"/>
      <c r="P132" s="12"/>
      <c r="Q132" s="12"/>
    </row>
    <row r="133" spans="1:17" ht="33" customHeight="1" x14ac:dyDescent="0.2">
      <c r="A133" s="12"/>
      <c r="B133" s="1604"/>
      <c r="C133" s="147">
        <f>'Jrnl Exp ~ Dép'!CG$6</f>
        <v>5525</v>
      </c>
      <c r="D133" s="1611"/>
      <c r="E133" s="501" t="str">
        <f>+'Jrnl Exp ~ Dép'!CG$8</f>
        <v>Cadet &amp; Ceremonial Accoutrements</v>
      </c>
      <c r="F133" s="503" t="str">
        <f>'Budget Tracker~Suivi'!F133</f>
        <v>White Belt, Name Tag, Medal Mounting, Etc.</v>
      </c>
      <c r="G133" s="1573"/>
      <c r="H133" s="1212">
        <f>'Budget Tracker~Suivi'!H133</f>
        <v>0</v>
      </c>
      <c r="I133" s="1207">
        <f>'Budget Tracker~Suivi'!I133</f>
        <v>0</v>
      </c>
      <c r="J133" s="1199"/>
      <c r="K133" s="1193"/>
      <c r="L133" s="12"/>
      <c r="M133" s="12"/>
      <c r="N133" s="12"/>
      <c r="O133" s="12"/>
      <c r="P133" s="12"/>
      <c r="Q133" s="12"/>
    </row>
    <row r="134" spans="1:17" ht="33" customHeight="1" x14ac:dyDescent="0.2">
      <c r="A134" s="12"/>
      <c r="B134" s="1604"/>
      <c r="C134" s="147">
        <f>'Jrnl Exp ~ Dép'!CH$6</f>
        <v>5530</v>
      </c>
      <c r="D134" s="1611"/>
      <c r="E134" s="501" t="str">
        <f>+'Jrnl Exp ~ Dép'!CH$8</f>
        <v>Scholarship &amp; Bursaries</v>
      </c>
      <c r="F134" s="503">
        <f>'Budget Tracker~Suivi'!F134</f>
        <v>0</v>
      </c>
      <c r="G134" s="1573"/>
      <c r="H134" s="1212">
        <f>'Budget Tracker~Suivi'!H134</f>
        <v>0</v>
      </c>
      <c r="I134" s="1207">
        <f>'Budget Tracker~Suivi'!I134</f>
        <v>0</v>
      </c>
      <c r="J134" s="1199"/>
      <c r="K134" s="1193"/>
      <c r="L134" s="12"/>
      <c r="M134" s="12"/>
      <c r="N134" s="12"/>
      <c r="O134" s="12"/>
      <c r="P134" s="12"/>
      <c r="Q134" s="12"/>
    </row>
    <row r="135" spans="1:17" ht="33" customHeight="1" x14ac:dyDescent="0.2">
      <c r="A135" s="12"/>
      <c r="B135" s="1604"/>
      <c r="C135" s="147">
        <f>'Jrnl Exp ~ Dép'!CI$6</f>
        <v>5535</v>
      </c>
      <c r="D135" s="1611"/>
      <c r="E135" s="501" t="str">
        <f>+'Jrnl Exp ~ Dép'!CI$8</f>
        <v>Disponible ~ Available</v>
      </c>
      <c r="F135" s="503">
        <f>'Budget Tracker~Suivi'!F135</f>
        <v>0</v>
      </c>
      <c r="G135" s="1573"/>
      <c r="H135" s="1212">
        <f>'Budget Tracker~Suivi'!H135</f>
        <v>0</v>
      </c>
      <c r="I135" s="1207">
        <f>'Budget Tracker~Suivi'!I135</f>
        <v>0</v>
      </c>
      <c r="J135" s="1199"/>
      <c r="K135" s="1193"/>
      <c r="L135" s="12"/>
      <c r="M135" s="12"/>
      <c r="N135" s="12"/>
      <c r="O135" s="12"/>
      <c r="P135" s="12"/>
      <c r="Q135" s="12"/>
    </row>
    <row r="136" spans="1:17" ht="33" customHeight="1" x14ac:dyDescent="0.2">
      <c r="A136" s="12"/>
      <c r="B136" s="1604"/>
      <c r="C136" s="532">
        <f>'Jrnl Exp ~ Dép'!CJ$6</f>
        <v>5540</v>
      </c>
      <c r="D136" s="1611"/>
      <c r="E136" s="533" t="str">
        <f>+'Jrnl Exp ~ Dép'!CJ$8</f>
        <v>Disponible ~ Available</v>
      </c>
      <c r="F136" s="503">
        <f>'Budget Tracker~Suivi'!F136</f>
        <v>0</v>
      </c>
      <c r="G136" s="1573"/>
      <c r="H136" s="1212">
        <f>'Budget Tracker~Suivi'!H136</f>
        <v>0</v>
      </c>
      <c r="I136" s="1207">
        <f>'Budget Tracker~Suivi'!I136</f>
        <v>0</v>
      </c>
      <c r="J136" s="1199"/>
      <c r="K136" s="1193"/>
      <c r="L136" s="12"/>
      <c r="M136" s="12"/>
      <c r="N136" s="12"/>
      <c r="O136" s="12"/>
      <c r="P136" s="12"/>
      <c r="Q136" s="12"/>
    </row>
    <row r="137" spans="1:17" ht="33" customHeight="1" x14ac:dyDescent="0.2">
      <c r="A137" s="12"/>
      <c r="B137" s="1604"/>
      <c r="C137" s="532">
        <f>'Jrnl Exp ~ Dép'!CK$6</f>
        <v>5545</v>
      </c>
      <c r="D137" s="1611"/>
      <c r="E137" s="501" t="str">
        <f>+'Jrnl Exp ~ Dép'!CK$8</f>
        <v>Disponible ~ Available</v>
      </c>
      <c r="F137" s="503">
        <f>'Budget Tracker~Suivi'!F137</f>
        <v>0</v>
      </c>
      <c r="G137" s="1573"/>
      <c r="H137" s="1212">
        <f>'Budget Tracker~Suivi'!H137</f>
        <v>0</v>
      </c>
      <c r="I137" s="1207">
        <f>'Budget Tracker~Suivi'!I137</f>
        <v>0</v>
      </c>
      <c r="J137" s="1199"/>
      <c r="K137" s="1193"/>
      <c r="L137" s="12"/>
      <c r="M137" s="12"/>
      <c r="N137" s="12"/>
      <c r="O137" s="12"/>
      <c r="P137" s="12"/>
      <c r="Q137" s="12"/>
    </row>
    <row r="138" spans="1:17" ht="33" customHeight="1" thickBot="1" x14ac:dyDescent="0.25">
      <c r="A138" s="12"/>
      <c r="B138" s="1605"/>
      <c r="C138" s="536">
        <f>'Jrnl Exp ~ Dép'!CL$6</f>
        <v>5550</v>
      </c>
      <c r="D138" s="1612"/>
      <c r="E138" s="542" t="str">
        <f>+'Jrnl Exp ~ Dép'!CL$8</f>
        <v>Disponible ~ Available</v>
      </c>
      <c r="F138" s="503">
        <f>'Budget Tracker~Suivi'!F138</f>
        <v>0</v>
      </c>
      <c r="G138" s="1574"/>
      <c r="H138" s="1205">
        <f>'Budget Tracker~Suivi'!H138</f>
        <v>0</v>
      </c>
      <c r="I138" s="1206">
        <f>'Budget Tracker~Suivi'!I138</f>
        <v>0</v>
      </c>
      <c r="J138" s="1198"/>
      <c r="K138" s="1194"/>
      <c r="L138" s="12"/>
      <c r="M138" s="12"/>
      <c r="N138" s="12"/>
      <c r="O138" s="12"/>
      <c r="P138" s="12"/>
      <c r="Q138" s="12"/>
    </row>
    <row r="139" spans="1:17" ht="33" customHeight="1" thickTop="1" thickBot="1" x14ac:dyDescent="0.25">
      <c r="A139" s="12"/>
      <c r="B139" s="1607" t="str">
        <f>CONCATENATE('Jrnl Exp ~ Dép'!CM4," - ",'Jrnl Exp ~ Dép'!CM5)</f>
        <v>5600 - Expenses - Gaming &amp; Lotteries Fundraising</v>
      </c>
      <c r="C139" s="522">
        <f>'Jrnl Exp ~ Dép'!CM$6</f>
        <v>5610</v>
      </c>
      <c r="D139" s="1589"/>
      <c r="E139" s="523" t="str">
        <f>+'Jrnl Exp ~ Dép'!CM$8</f>
        <v>SQN
Lottery/Raffles
Expenses</v>
      </c>
      <c r="F139" s="524">
        <f>'Budget Tracker~Suivi'!F139</f>
        <v>0</v>
      </c>
      <c r="G139" s="1589"/>
      <c r="H139" s="1203">
        <f>'Budget Tracker~Suivi'!H139</f>
        <v>0</v>
      </c>
      <c r="I139" s="1209">
        <f>'Budget Tracker~Suivi'!I139</f>
        <v>0</v>
      </c>
      <c r="J139" s="1197"/>
      <c r="K139" s="1195"/>
      <c r="L139" s="12"/>
      <c r="M139" s="12"/>
      <c r="N139" s="12"/>
      <c r="O139" s="12"/>
      <c r="P139" s="12"/>
      <c r="Q139" s="12"/>
    </row>
    <row r="140" spans="1:17" ht="33" customHeight="1" thickTop="1" thickBot="1" x14ac:dyDescent="0.25">
      <c r="A140" s="12"/>
      <c r="B140" s="1608"/>
      <c r="C140" s="147">
        <f>'Jrnl Exp ~ Dép'!CN$6</f>
        <v>5620</v>
      </c>
      <c r="D140" s="1589"/>
      <c r="E140" s="501" t="str">
        <f>+'Jrnl Exp ~ Dép'!CN$8</f>
        <v>Disponible ~ Available</v>
      </c>
      <c r="F140" s="540">
        <f>'Budget Tracker~Suivi'!F140</f>
        <v>0</v>
      </c>
      <c r="G140" s="1589"/>
      <c r="H140" s="1212">
        <f>'Budget Tracker~Suivi'!H140</f>
        <v>0</v>
      </c>
      <c r="I140" s="1207">
        <f>'Budget Tracker~Suivi'!I140</f>
        <v>0</v>
      </c>
      <c r="J140" s="1199"/>
      <c r="K140" s="1193"/>
      <c r="L140" s="12"/>
      <c r="M140" s="12"/>
      <c r="N140" s="12"/>
      <c r="O140" s="12"/>
      <c r="P140" s="12"/>
      <c r="Q140" s="12"/>
    </row>
    <row r="141" spans="1:17" ht="33" customHeight="1" thickTop="1" thickBot="1" x14ac:dyDescent="0.25">
      <c r="A141" s="12"/>
      <c r="B141" s="1608"/>
      <c r="C141" s="147">
        <f>'Jrnl Exp ~ Dép'!CO$6</f>
        <v>5630</v>
      </c>
      <c r="D141" s="1589"/>
      <c r="E141" s="501" t="str">
        <f>+'Jrnl Exp ~ Dép'!CO$8</f>
        <v>Disponible ~ Available</v>
      </c>
      <c r="F141" s="540">
        <f>'Budget Tracker~Suivi'!F141</f>
        <v>0</v>
      </c>
      <c r="G141" s="1589"/>
      <c r="H141" s="1212">
        <f>'Budget Tracker~Suivi'!H141</f>
        <v>0</v>
      </c>
      <c r="I141" s="1207">
        <f>'Budget Tracker~Suivi'!I141</f>
        <v>0</v>
      </c>
      <c r="J141" s="1199"/>
      <c r="K141" s="1193"/>
      <c r="L141" s="12"/>
      <c r="M141" s="12"/>
      <c r="N141" s="12"/>
      <c r="O141" s="12"/>
      <c r="P141" s="12"/>
      <c r="Q141" s="12"/>
    </row>
    <row r="142" spans="1:17" ht="33" customHeight="1" thickTop="1" thickBot="1" x14ac:dyDescent="0.25">
      <c r="A142" s="12"/>
      <c r="B142" s="1608"/>
      <c r="C142" s="147">
        <f>'Jrnl Exp ~ Dép'!CP$6</f>
        <v>5640</v>
      </c>
      <c r="D142" s="1589"/>
      <c r="E142" s="501" t="str">
        <f>+'Jrnl Exp ~ Dép'!CP$8</f>
        <v>Disponible ~ Available</v>
      </c>
      <c r="F142" s="540">
        <f>'Budget Tracker~Suivi'!F142</f>
        <v>0</v>
      </c>
      <c r="G142" s="1589"/>
      <c r="H142" s="1212">
        <f>'Budget Tracker~Suivi'!H142</f>
        <v>0</v>
      </c>
      <c r="I142" s="1207">
        <f>'Budget Tracker~Suivi'!I142</f>
        <v>0</v>
      </c>
      <c r="J142" s="1199"/>
      <c r="K142" s="1193"/>
      <c r="L142" s="12"/>
      <c r="M142" s="12"/>
      <c r="N142" s="12"/>
      <c r="O142" s="12"/>
      <c r="P142" s="12"/>
      <c r="Q142" s="12"/>
    </row>
    <row r="143" spans="1:17" ht="33" customHeight="1" thickTop="1" thickBot="1" x14ac:dyDescent="0.25">
      <c r="A143" s="12"/>
      <c r="B143" s="1608"/>
      <c r="C143" s="147">
        <f>'Jrnl Exp ~ Dép'!CQ$6</f>
        <v>5650</v>
      </c>
      <c r="D143" s="1589"/>
      <c r="E143" s="501" t="str">
        <f>+'Jrnl Exp ~ Dép'!CQ$8</f>
        <v>Disponible ~ Available</v>
      </c>
      <c r="F143" s="540">
        <f>'Budget Tracker~Suivi'!F143</f>
        <v>0</v>
      </c>
      <c r="G143" s="1589"/>
      <c r="H143" s="1212">
        <f>'Budget Tracker~Suivi'!H143</f>
        <v>0</v>
      </c>
      <c r="I143" s="1207">
        <f>'Budget Tracker~Suivi'!I143</f>
        <v>0</v>
      </c>
      <c r="J143" s="1199"/>
      <c r="K143" s="1193"/>
      <c r="L143" s="12"/>
      <c r="M143" s="12"/>
      <c r="N143" s="12"/>
      <c r="O143" s="12"/>
      <c r="P143" s="12"/>
      <c r="Q143" s="12"/>
    </row>
    <row r="144" spans="1:17" ht="33" customHeight="1" thickTop="1" thickBot="1" x14ac:dyDescent="0.25">
      <c r="A144" s="12"/>
      <c r="B144" s="1608"/>
      <c r="C144" s="147">
        <f>'Jrnl Exp ~ Dép'!CR$6</f>
        <v>5660</v>
      </c>
      <c r="D144" s="1589"/>
      <c r="E144" s="501" t="str">
        <f>+'Jrnl Exp ~ Dép'!CR$8</f>
        <v>Disponible ~ Available</v>
      </c>
      <c r="F144" s="540">
        <f>'Budget Tracker~Suivi'!F144</f>
        <v>0</v>
      </c>
      <c r="G144" s="1589"/>
      <c r="H144" s="1212">
        <f>'Budget Tracker~Suivi'!H144</f>
        <v>0</v>
      </c>
      <c r="I144" s="1207">
        <f>'Budget Tracker~Suivi'!I144</f>
        <v>0</v>
      </c>
      <c r="J144" s="1199"/>
      <c r="K144" s="1193"/>
      <c r="L144" s="566"/>
      <c r="M144" s="566"/>
      <c r="N144" s="566"/>
      <c r="O144" s="566"/>
      <c r="P144" s="566"/>
      <c r="Q144" s="566"/>
    </row>
    <row r="145" spans="1:17" ht="33" customHeight="1" thickTop="1" thickBot="1" x14ac:dyDescent="0.25">
      <c r="A145" s="12"/>
      <c r="B145" s="1608"/>
      <c r="C145" s="147">
        <f>'Jrnl Exp ~ Dép'!CS$6</f>
        <v>5670</v>
      </c>
      <c r="D145" s="1589"/>
      <c r="E145" s="501" t="str">
        <f>+'Jrnl Exp ~ Dép'!CS$8</f>
        <v>Disponible ~ Available</v>
      </c>
      <c r="F145" s="540">
        <f>'Budget Tracker~Suivi'!F145</f>
        <v>0</v>
      </c>
      <c r="G145" s="1589"/>
      <c r="H145" s="1212">
        <f>'Budget Tracker~Suivi'!H145</f>
        <v>0</v>
      </c>
      <c r="I145" s="1207">
        <f>'Budget Tracker~Suivi'!I145</f>
        <v>0</v>
      </c>
      <c r="J145" s="1199"/>
      <c r="K145" s="1193"/>
      <c r="L145" s="12"/>
      <c r="M145" s="12"/>
      <c r="N145" s="12"/>
      <c r="O145" s="12"/>
      <c r="P145" s="12"/>
      <c r="Q145" s="12"/>
    </row>
    <row r="146" spans="1:17" ht="33" customHeight="1" thickTop="1" thickBot="1" x14ac:dyDescent="0.25">
      <c r="A146" s="12"/>
      <c r="B146" s="1608"/>
      <c r="C146" s="147">
        <f>'Jrnl Exp ~ Dép'!CT$6</f>
        <v>5680</v>
      </c>
      <c r="D146" s="1589"/>
      <c r="E146" s="501" t="str">
        <f>+'Jrnl Exp ~ Dép'!CT$8</f>
        <v>Disponible ~ Available</v>
      </c>
      <c r="F146" s="540">
        <f>'Budget Tracker~Suivi'!F146</f>
        <v>0</v>
      </c>
      <c r="G146" s="1589"/>
      <c r="H146" s="1212">
        <f>'Budget Tracker~Suivi'!H146</f>
        <v>0</v>
      </c>
      <c r="I146" s="1207">
        <f>'Budget Tracker~Suivi'!I146</f>
        <v>0</v>
      </c>
      <c r="J146" s="1199"/>
      <c r="K146" s="1193"/>
      <c r="L146" s="12"/>
      <c r="M146" s="12"/>
      <c r="N146" s="12"/>
      <c r="O146" s="12"/>
      <c r="P146" s="12"/>
      <c r="Q146" s="12"/>
    </row>
    <row r="147" spans="1:17" ht="33" customHeight="1" thickTop="1" thickBot="1" x14ac:dyDescent="0.25">
      <c r="A147" s="12"/>
      <c r="B147" s="1609"/>
      <c r="C147" s="541">
        <f>'Jrnl Exp ~ Dép'!CU$6</f>
        <v>5690</v>
      </c>
      <c r="D147" s="1589"/>
      <c r="E147" s="542" t="str">
        <f>+'Jrnl Exp ~ Dép'!CU$8</f>
        <v>Disponible ~ Available</v>
      </c>
      <c r="F147" s="538">
        <f>'Budget Tracker~Suivi'!F147</f>
        <v>0</v>
      </c>
      <c r="G147" s="1589"/>
      <c r="H147" s="1205">
        <f>'Budget Tracker~Suivi'!H147</f>
        <v>0</v>
      </c>
      <c r="I147" s="1206">
        <f>'Budget Tracker~Suivi'!I147</f>
        <v>0</v>
      </c>
      <c r="J147" s="1198"/>
      <c r="K147" s="1194"/>
      <c r="L147" s="12"/>
      <c r="M147" s="12"/>
      <c r="N147" s="12"/>
      <c r="O147" s="12"/>
      <c r="P147" s="12"/>
      <c r="Q147" s="12"/>
    </row>
    <row r="148" spans="1:17" ht="33" customHeight="1" thickTop="1" thickBot="1" x14ac:dyDescent="0.25">
      <c r="A148" s="12"/>
      <c r="B148" s="1607" t="str">
        <f>CONCATENATE('Jrnl Exp ~ Dép'!CV4," - ",'Jrnl Exp ~ Dép'!CV5)</f>
        <v>5700 - Expenses - Other Fundraising</v>
      </c>
      <c r="C148" s="522">
        <f>'Jrnl Exp ~ Dép'!CV$6</f>
        <v>5710</v>
      </c>
      <c r="D148" s="1589"/>
      <c r="E148" s="523" t="str">
        <f>+'Jrnl Exp ~ Dép'!CV$8</f>
        <v>Tagging
Expenses
Fall</v>
      </c>
      <c r="F148" s="524">
        <f>'Budget Tracker~Suivi'!F148</f>
        <v>0</v>
      </c>
      <c r="G148" s="1589"/>
      <c r="H148" s="1203">
        <f>'Budget Tracker~Suivi'!H148</f>
        <v>0</v>
      </c>
      <c r="I148" s="1209">
        <f>'Budget Tracker~Suivi'!I148</f>
        <v>0</v>
      </c>
      <c r="J148" s="1197"/>
      <c r="K148" s="1195"/>
    </row>
    <row r="149" spans="1:17" ht="33" customHeight="1" thickTop="1" thickBot="1" x14ac:dyDescent="0.25">
      <c r="A149" s="566"/>
      <c r="B149" s="1608"/>
      <c r="C149" s="147">
        <f>'Jrnl Exp ~ Dép'!CW$6</f>
        <v>5720</v>
      </c>
      <c r="D149" s="1589"/>
      <c r="E149" s="501" t="str">
        <f>+'Jrnl Exp ~ Dép'!CW$8</f>
        <v>Tagging
Expenses
Spring</v>
      </c>
      <c r="F149" s="540">
        <f>'Budget Tracker~Suivi'!F149</f>
        <v>0</v>
      </c>
      <c r="G149" s="1589"/>
      <c r="H149" s="1212">
        <f>'Budget Tracker~Suivi'!H149</f>
        <v>0</v>
      </c>
      <c r="I149" s="1207">
        <f>'Budget Tracker~Suivi'!I149</f>
        <v>0</v>
      </c>
      <c r="J149" s="1199"/>
      <c r="K149" s="1193"/>
    </row>
    <row r="150" spans="1:17" ht="33" customHeight="1" thickTop="1" thickBot="1" x14ac:dyDescent="0.25">
      <c r="A150" s="12"/>
      <c r="B150" s="1608"/>
      <c r="C150" s="147">
        <f>'Jrnl Exp ~ Dép'!CX$6</f>
        <v>5730</v>
      </c>
      <c r="D150" s="1589"/>
      <c r="E150" s="501" t="str">
        <f>+'Jrnl Exp ~ Dép'!CX$8</f>
        <v>Bottle Drive
Expenses</v>
      </c>
      <c r="F150" s="540">
        <f>'Budget Tracker~Suivi'!F150</f>
        <v>0</v>
      </c>
      <c r="G150" s="1589"/>
      <c r="H150" s="1212">
        <f>'Budget Tracker~Suivi'!H150</f>
        <v>0</v>
      </c>
      <c r="I150" s="1207">
        <f>'Budget Tracker~Suivi'!I150</f>
        <v>0</v>
      </c>
      <c r="J150" s="1199"/>
      <c r="K150" s="1193"/>
    </row>
    <row r="151" spans="1:17" ht="33" customHeight="1" thickTop="1" thickBot="1" x14ac:dyDescent="0.25">
      <c r="A151" s="12"/>
      <c r="B151" s="1608"/>
      <c r="C151" s="147">
        <f>'Jrnl Exp ~ Dép'!CY$6</f>
        <v>5740</v>
      </c>
      <c r="D151" s="1589"/>
      <c r="E151" s="501" t="str">
        <f>+'Jrnl Exp ~ Dép'!CY$8</f>
        <v>Disponible ~ Available</v>
      </c>
      <c r="F151" s="540">
        <f>'Budget Tracker~Suivi'!F151</f>
        <v>0</v>
      </c>
      <c r="G151" s="1589"/>
      <c r="H151" s="1212">
        <f>'Budget Tracker~Suivi'!H151</f>
        <v>0</v>
      </c>
      <c r="I151" s="1207">
        <f>'Budget Tracker~Suivi'!I151</f>
        <v>0</v>
      </c>
      <c r="J151" s="1199"/>
      <c r="K151" s="1193"/>
    </row>
    <row r="152" spans="1:17" ht="33" customHeight="1" thickTop="1" thickBot="1" x14ac:dyDescent="0.25">
      <c r="A152" s="12"/>
      <c r="B152" s="1608"/>
      <c r="C152" s="147">
        <f>'Jrnl Exp ~ Dép'!CZ$6</f>
        <v>5750</v>
      </c>
      <c r="D152" s="1589"/>
      <c r="E152" s="501" t="str">
        <f>+'Jrnl Exp ~ Dép'!CZ$8</f>
        <v>Disponible ~ Available</v>
      </c>
      <c r="F152" s="540">
        <f>'Budget Tracker~Suivi'!F152</f>
        <v>0</v>
      </c>
      <c r="G152" s="1589"/>
      <c r="H152" s="1212">
        <f>'Budget Tracker~Suivi'!H152</f>
        <v>0</v>
      </c>
      <c r="I152" s="1207">
        <f>'Budget Tracker~Suivi'!I152</f>
        <v>0</v>
      </c>
      <c r="J152" s="1199"/>
      <c r="K152" s="1193"/>
    </row>
    <row r="153" spans="1:17" ht="33" customHeight="1" thickTop="1" thickBot="1" x14ac:dyDescent="0.25">
      <c r="A153" s="12"/>
      <c r="B153" s="1608"/>
      <c r="C153" s="147">
        <f>'Jrnl Exp ~ Dép'!DA$6</f>
        <v>5760</v>
      </c>
      <c r="D153" s="1589"/>
      <c r="E153" s="501" t="str">
        <f>+'Jrnl Exp ~ Dép'!DA$8</f>
        <v>Disponible ~ Available</v>
      </c>
      <c r="F153" s="540">
        <f>'Budget Tracker~Suivi'!F153</f>
        <v>0</v>
      </c>
      <c r="G153" s="1589"/>
      <c r="H153" s="1212">
        <f>'Budget Tracker~Suivi'!H153</f>
        <v>0</v>
      </c>
      <c r="I153" s="1207">
        <f>'Budget Tracker~Suivi'!I153</f>
        <v>0</v>
      </c>
      <c r="J153" s="1199"/>
      <c r="K153" s="1193"/>
    </row>
    <row r="154" spans="1:17" ht="33" customHeight="1" thickTop="1" thickBot="1" x14ac:dyDescent="0.25">
      <c r="A154" s="12"/>
      <c r="B154" s="1608"/>
      <c r="C154" s="147">
        <f>'Jrnl Exp ~ Dép'!DB$6</f>
        <v>5770</v>
      </c>
      <c r="D154" s="1589"/>
      <c r="E154" s="501" t="str">
        <f>+'Jrnl Exp ~ Dép'!DB$8</f>
        <v>Disponible ~ Available</v>
      </c>
      <c r="F154" s="540">
        <f>'Budget Tracker~Suivi'!F154</f>
        <v>0</v>
      </c>
      <c r="G154" s="1589"/>
      <c r="H154" s="1212">
        <f>'Budget Tracker~Suivi'!H154</f>
        <v>0</v>
      </c>
      <c r="I154" s="1207">
        <f>'Budget Tracker~Suivi'!I154</f>
        <v>0</v>
      </c>
      <c r="J154" s="1199"/>
      <c r="K154" s="1193"/>
    </row>
    <row r="155" spans="1:17" ht="33" customHeight="1" thickTop="1" thickBot="1" x14ac:dyDescent="0.25">
      <c r="A155" s="12"/>
      <c r="B155" s="1608"/>
      <c r="C155" s="147">
        <f>'Jrnl Exp ~ Dép'!DC$6</f>
        <v>5780</v>
      </c>
      <c r="D155" s="1589"/>
      <c r="E155" s="501" t="str">
        <f>+'Jrnl Exp ~ Dép'!DC$8</f>
        <v>Disponible ~ Available</v>
      </c>
      <c r="F155" s="540">
        <f>'Budget Tracker~Suivi'!F155</f>
        <v>0</v>
      </c>
      <c r="G155" s="1589"/>
      <c r="H155" s="1212">
        <f>'Budget Tracker~Suivi'!H155</f>
        <v>0</v>
      </c>
      <c r="I155" s="1207">
        <f>'Budget Tracker~Suivi'!I155</f>
        <v>0</v>
      </c>
      <c r="J155" s="1199"/>
      <c r="K155" s="1193"/>
    </row>
    <row r="156" spans="1:17" ht="33" customHeight="1" thickTop="1" thickBot="1" x14ac:dyDescent="0.25">
      <c r="A156" s="12"/>
      <c r="B156" s="1609"/>
      <c r="C156" s="541">
        <f>'Jrnl Exp ~ Dép'!DD$6</f>
        <v>5790</v>
      </c>
      <c r="D156" s="1589"/>
      <c r="E156" s="542" t="str">
        <f>+'Jrnl Exp ~ Dép'!DD$8</f>
        <v>Disponible ~ Available</v>
      </c>
      <c r="F156" s="538">
        <f>'Budget Tracker~Suivi'!F156</f>
        <v>0</v>
      </c>
      <c r="G156" s="1589"/>
      <c r="H156" s="1205">
        <f>'Budget Tracker~Suivi'!H156</f>
        <v>0</v>
      </c>
      <c r="I156" s="1206">
        <f>'Budget Tracker~Suivi'!I156</f>
        <v>0</v>
      </c>
      <c r="J156" s="1198"/>
      <c r="K156" s="1194"/>
    </row>
    <row r="157" spans="1:17" ht="33" customHeight="1" thickTop="1" thickBot="1" x14ac:dyDescent="0.25">
      <c r="A157" s="12"/>
      <c r="B157" s="1607" t="str">
        <f>CONCATENATE('Jrnl Exp ~ Dép'!DE4," - ",'Jrnl Exp ~ Dép'!DE5)</f>
        <v>5800 - Other Expenses</v>
      </c>
      <c r="C157" s="522">
        <f>'Jrnl Exp ~ Dép'!DE$6</f>
        <v>5810</v>
      </c>
      <c r="D157" s="1589"/>
      <c r="E157" s="523" t="str">
        <f>+'Jrnl Exp ~ Dép'!DE$8</f>
        <v>Donations to other Qualified Donnees</v>
      </c>
      <c r="F157" s="524" t="str">
        <f>'Budget Tracker~Suivi'!F157</f>
        <v>Donation to another Registered Charity</v>
      </c>
      <c r="G157" s="1589"/>
      <c r="H157" s="1208">
        <f>'Budget Tracker~Suivi'!H157</f>
        <v>0</v>
      </c>
      <c r="I157" s="1209">
        <f>'Budget Tracker~Suivi'!I157</f>
        <v>0</v>
      </c>
      <c r="J157" s="1197"/>
      <c r="K157" s="1195"/>
    </row>
    <row r="158" spans="1:17" ht="33" customHeight="1" thickTop="1" thickBot="1" x14ac:dyDescent="0.25">
      <c r="A158" s="12"/>
      <c r="B158" s="1608"/>
      <c r="C158" s="147">
        <f>'Jrnl Exp ~ Dép'!DF$6</f>
        <v>5820</v>
      </c>
      <c r="D158" s="1589"/>
      <c r="E158" s="501" t="str">
        <f>+'Jrnl Exp ~ Dép'!DF$8</f>
        <v>Bad Debts</v>
      </c>
      <c r="F158" s="540">
        <f>'Budget Tracker~Suivi'!F158</f>
        <v>0</v>
      </c>
      <c r="G158" s="1589"/>
      <c r="H158" s="1212">
        <f>'Budget Tracker~Suivi'!H158</f>
        <v>0</v>
      </c>
      <c r="I158" s="1207">
        <f>'Budget Tracker~Suivi'!I158</f>
        <v>0</v>
      </c>
      <c r="J158" s="1199"/>
      <c r="K158" s="1193"/>
    </row>
    <row r="159" spans="1:17" ht="33" customHeight="1" thickTop="1" thickBot="1" x14ac:dyDescent="0.25">
      <c r="A159" s="12"/>
      <c r="B159" s="1608"/>
      <c r="C159" s="147">
        <f>'Jrnl Exp ~ Dép'!DG$6</f>
        <v>5830</v>
      </c>
      <c r="D159" s="1589"/>
      <c r="E159" s="501" t="str">
        <f>+'Jrnl Exp ~ Dép'!DG$8</f>
        <v>Capital Losses</v>
      </c>
      <c r="F159" s="540">
        <f>'Budget Tracker~Suivi'!F159</f>
        <v>0</v>
      </c>
      <c r="G159" s="1589"/>
      <c r="H159" s="1212">
        <f>'Budget Tracker~Suivi'!H159</f>
        <v>0</v>
      </c>
      <c r="I159" s="1207">
        <f>'Budget Tracker~Suivi'!I159</f>
        <v>0</v>
      </c>
      <c r="J159" s="1199"/>
      <c r="K159" s="1193"/>
    </row>
    <row r="160" spans="1:17" ht="33" customHeight="1" thickTop="1" thickBot="1" x14ac:dyDescent="0.25">
      <c r="A160" s="12"/>
      <c r="B160" s="1608"/>
      <c r="C160" s="147">
        <f>'Jrnl Exp ~ Dép'!DH$6</f>
        <v>5840</v>
      </c>
      <c r="D160" s="1589"/>
      <c r="E160" s="501" t="str">
        <f>+'Jrnl Exp ~ Dép'!DH$8</f>
        <v>Purchase of Sqn Logo Items</v>
      </c>
      <c r="F160" s="540">
        <f>'Budget Tracker~Suivi'!F160</f>
        <v>0</v>
      </c>
      <c r="G160" s="1589"/>
      <c r="H160" s="1212">
        <f>'Budget Tracker~Suivi'!H160</f>
        <v>0</v>
      </c>
      <c r="I160" s="1207">
        <f>'Budget Tracker~Suivi'!I160</f>
        <v>0</v>
      </c>
      <c r="J160" s="1199"/>
      <c r="K160" s="1193"/>
    </row>
    <row r="161" spans="1:11" ht="33" customHeight="1" thickTop="1" thickBot="1" x14ac:dyDescent="0.25">
      <c r="A161" s="12"/>
      <c r="B161" s="1608"/>
      <c r="C161" s="147">
        <f>'Jrnl Exp ~ Dép'!DI$6</f>
        <v>5850</v>
      </c>
      <c r="D161" s="1589"/>
      <c r="E161" s="501" t="str">
        <f>+'Jrnl Exp ~ Dép'!DI$8</f>
        <v>Purchase for Canteen</v>
      </c>
      <c r="F161" s="540">
        <f>'Budget Tracker~Suivi'!F161</f>
        <v>0</v>
      </c>
      <c r="G161" s="1589"/>
      <c r="H161" s="1212">
        <f>'Budget Tracker~Suivi'!H161</f>
        <v>0</v>
      </c>
      <c r="I161" s="1207">
        <f>'Budget Tracker~Suivi'!I161</f>
        <v>0</v>
      </c>
      <c r="J161" s="1199"/>
      <c r="K161" s="1193"/>
    </row>
    <row r="162" spans="1:11" ht="33" customHeight="1" thickTop="1" thickBot="1" x14ac:dyDescent="0.25">
      <c r="A162" s="12"/>
      <c r="B162" s="1608"/>
      <c r="C162" s="147">
        <f>'Jrnl Exp ~ Dép'!DJ$6</f>
        <v>5860</v>
      </c>
      <c r="D162" s="1589"/>
      <c r="E162" s="501" t="str">
        <f>+'Jrnl Exp ~ Dép'!DJ$8</f>
        <v>Expenses from previous years</v>
      </c>
      <c r="F162" s="540">
        <f>'Budget Tracker~Suivi'!F162</f>
        <v>0</v>
      </c>
      <c r="G162" s="1589"/>
      <c r="H162" s="1212">
        <f>'Budget Tracker~Suivi'!H162</f>
        <v>0</v>
      </c>
      <c r="I162" s="1207">
        <f>'Budget Tracker~Suivi'!I162</f>
        <v>0</v>
      </c>
      <c r="J162" s="1199"/>
      <c r="K162" s="1193"/>
    </row>
    <row r="163" spans="1:11" ht="33" customHeight="1" thickTop="1" thickBot="1" x14ac:dyDescent="0.25">
      <c r="A163" s="12"/>
      <c r="B163" s="1608"/>
      <c r="C163" s="147">
        <f>'Jrnl Exp ~ Dép'!DK$6</f>
        <v>5870</v>
      </c>
      <c r="D163" s="1589"/>
      <c r="E163" s="501" t="str">
        <f>+'Jrnl Exp ~ Dép'!DK$8</f>
        <v>Disponible ~ Available</v>
      </c>
      <c r="F163" s="540">
        <f>'Budget Tracker~Suivi'!F163</f>
        <v>0</v>
      </c>
      <c r="G163" s="1589"/>
      <c r="H163" s="1212">
        <f>'Budget Tracker~Suivi'!H163</f>
        <v>0</v>
      </c>
      <c r="I163" s="1207">
        <f>'Budget Tracker~Suivi'!I163</f>
        <v>0</v>
      </c>
      <c r="J163" s="1199"/>
      <c r="K163" s="1193"/>
    </row>
    <row r="164" spans="1:11" ht="33" customHeight="1" thickTop="1" thickBot="1" x14ac:dyDescent="0.25">
      <c r="A164" s="12"/>
      <c r="B164" s="1609"/>
      <c r="C164" s="541">
        <f>'Jrnl Exp ~ Dép'!DL$6</f>
        <v>5880</v>
      </c>
      <c r="D164" s="1589"/>
      <c r="E164" s="537" t="str">
        <f>+'Jrnl Exp ~ Dép'!DL$8</f>
        <v>Other Expenses (Must not be Excessive)</v>
      </c>
      <c r="F164" s="538">
        <f>'Budget Tracker~Suivi'!F164</f>
        <v>0</v>
      </c>
      <c r="G164" s="1589"/>
      <c r="H164" s="1205">
        <f>'Budget Tracker~Suivi'!H164</f>
        <v>0</v>
      </c>
      <c r="I164" s="1206">
        <f>'Budget Tracker~Suivi'!I164</f>
        <v>0</v>
      </c>
      <c r="J164" s="1202"/>
      <c r="K164" s="1194"/>
    </row>
    <row r="165" spans="1:11" ht="13.5" customHeight="1" thickTop="1" x14ac:dyDescent="0.2">
      <c r="A165" s="12"/>
      <c r="B165" s="25"/>
      <c r="C165" s="27"/>
      <c r="D165" s="27"/>
      <c r="E165" s="568"/>
      <c r="F165" s="24"/>
      <c r="G165" s="24"/>
      <c r="H165" s="543"/>
      <c r="I165" s="569"/>
      <c r="J165" s="543"/>
      <c r="K165" s="543"/>
    </row>
    <row r="166" spans="1:11" ht="33" customHeight="1" x14ac:dyDescent="0.2">
      <c r="A166" s="12"/>
      <c r="B166" s="544"/>
      <c r="C166" s="570"/>
      <c r="D166" s="570"/>
      <c r="E166" s="1606" t="str">
        <f>IF(N7=2,"Sous-Total","Sub-Total")</f>
        <v>Sub-Total</v>
      </c>
      <c r="F166" s="1606"/>
      <c r="G166" s="1606"/>
      <c r="H166" s="571">
        <f>SUM(H64:H90,H95,H100:H123,H131:H164)</f>
        <v>0</v>
      </c>
      <c r="I166" s="571">
        <f>SUM(I64:I90,I95,I100:I123,I131:I164)</f>
        <v>0</v>
      </c>
      <c r="J166" s="571"/>
      <c r="K166" s="571">
        <f>SUM(K64:K90,K95,K100:K122,K123,K131:K164)</f>
        <v>0</v>
      </c>
    </row>
    <row r="167" spans="1:11" x14ac:dyDescent="0.2">
      <c r="B167" s="1"/>
      <c r="C167" s="1"/>
      <c r="D167" s="1"/>
      <c r="E167" s="1"/>
      <c r="F167" s="1"/>
      <c r="G167" s="1"/>
      <c r="H167" s="1"/>
      <c r="I167" s="1"/>
      <c r="J167" s="1"/>
    </row>
    <row r="168" spans="1:11" x14ac:dyDescent="0.2">
      <c r="B168" s="1"/>
      <c r="C168" s="1"/>
      <c r="D168" s="1"/>
      <c r="E168" s="1"/>
      <c r="F168" s="1"/>
      <c r="G168" s="1"/>
      <c r="H168" s="1"/>
      <c r="I168" s="1"/>
      <c r="J168" s="1"/>
    </row>
    <row r="169" spans="1:11" x14ac:dyDescent="0.2">
      <c r="B169" s="1"/>
      <c r="C169" s="1"/>
      <c r="D169" s="1"/>
      <c r="E169" s="1"/>
      <c r="F169" s="1"/>
      <c r="G169" s="1"/>
      <c r="H169" s="1"/>
      <c r="I169" s="1"/>
      <c r="J169" s="1"/>
    </row>
    <row r="170" spans="1:11" x14ac:dyDescent="0.2">
      <c r="B170" s="1"/>
      <c r="C170" s="1"/>
      <c r="D170" s="1"/>
      <c r="E170" s="1"/>
      <c r="F170" s="1"/>
      <c r="G170" s="1"/>
      <c r="H170" s="1"/>
      <c r="I170" s="1"/>
      <c r="J170" s="1"/>
    </row>
    <row r="171" spans="1:11" x14ac:dyDescent="0.2">
      <c r="B171" s="1"/>
      <c r="C171" s="1"/>
      <c r="D171" s="1"/>
      <c r="E171" s="1"/>
      <c r="F171" s="1"/>
      <c r="G171" s="1"/>
      <c r="H171" s="1"/>
      <c r="I171" s="1"/>
      <c r="J171" s="1"/>
    </row>
    <row r="172" spans="1:11" x14ac:dyDescent="0.2">
      <c r="B172" s="1"/>
      <c r="C172" s="1"/>
      <c r="D172" s="1"/>
      <c r="E172" s="1"/>
      <c r="F172" s="1"/>
      <c r="G172" s="1"/>
      <c r="H172" s="1"/>
      <c r="I172" s="1"/>
      <c r="J172" s="1"/>
    </row>
    <row r="173" spans="1:11" x14ac:dyDescent="0.2">
      <c r="B173" s="1"/>
      <c r="C173" s="1"/>
      <c r="D173" s="1"/>
      <c r="E173" s="1"/>
      <c r="F173" s="1"/>
      <c r="G173" s="1"/>
      <c r="H173" s="1"/>
      <c r="I173" s="1"/>
      <c r="J173" s="1"/>
    </row>
    <row r="174" spans="1:11" x14ac:dyDescent="0.2">
      <c r="B174" s="1"/>
      <c r="C174" s="1"/>
      <c r="D174" s="1"/>
      <c r="E174" s="1"/>
      <c r="F174" s="1"/>
      <c r="G174" s="1"/>
      <c r="H174" s="1"/>
      <c r="I174" s="1"/>
      <c r="J174" s="1"/>
    </row>
    <row r="175" spans="1:11" x14ac:dyDescent="0.2">
      <c r="B175" s="1"/>
      <c r="C175" s="1"/>
      <c r="D175" s="1"/>
      <c r="E175" s="1"/>
      <c r="F175" s="1"/>
      <c r="G175" s="1"/>
      <c r="H175" s="1"/>
      <c r="I175" s="1"/>
      <c r="J175" s="1"/>
    </row>
    <row r="176" spans="1:11" x14ac:dyDescent="0.2">
      <c r="B176" s="1"/>
      <c r="C176" s="1"/>
      <c r="D176" s="1"/>
      <c r="E176" s="1"/>
      <c r="F176" s="1"/>
      <c r="G176" s="1"/>
      <c r="H176" s="1"/>
      <c r="I176" s="1"/>
      <c r="J176" s="1"/>
    </row>
    <row r="177" spans="2:10" x14ac:dyDescent="0.2">
      <c r="B177" s="1"/>
      <c r="C177" s="1"/>
      <c r="D177" s="1"/>
      <c r="E177" s="1"/>
      <c r="F177" s="1"/>
      <c r="G177" s="1"/>
      <c r="H177" s="1"/>
      <c r="I177" s="1"/>
      <c r="J177" s="1"/>
    </row>
    <row r="178" spans="2:10" x14ac:dyDescent="0.2">
      <c r="B178" s="1"/>
      <c r="C178" s="1"/>
      <c r="D178" s="1"/>
      <c r="E178" s="1"/>
      <c r="F178" s="1"/>
      <c r="G178" s="1"/>
      <c r="H178" s="1"/>
      <c r="I178" s="1"/>
      <c r="J178" s="1"/>
    </row>
    <row r="179" spans="2:10" x14ac:dyDescent="0.2">
      <c r="B179" s="1"/>
      <c r="C179" s="1"/>
      <c r="D179" s="1"/>
      <c r="E179" s="1"/>
      <c r="F179" s="1"/>
      <c r="G179" s="1"/>
      <c r="H179" s="1"/>
      <c r="I179" s="1"/>
      <c r="J179" s="1"/>
    </row>
    <row r="180" spans="2:10" x14ac:dyDescent="0.2">
      <c r="B180" s="1"/>
      <c r="C180" s="1"/>
      <c r="D180" s="1"/>
      <c r="E180" s="1"/>
      <c r="F180" s="1"/>
      <c r="G180" s="1"/>
      <c r="H180" s="1"/>
      <c r="I180" s="1"/>
      <c r="J180" s="1"/>
    </row>
    <row r="181" spans="2:10" x14ac:dyDescent="0.2">
      <c r="B181" s="1"/>
      <c r="C181" s="1"/>
      <c r="D181" s="1"/>
      <c r="E181" s="1"/>
      <c r="F181" s="1"/>
      <c r="G181" s="1"/>
      <c r="H181" s="1"/>
      <c r="I181" s="1"/>
      <c r="J181" s="1"/>
    </row>
    <row r="182" spans="2:10" x14ac:dyDescent="0.2">
      <c r="B182" s="1"/>
      <c r="C182" s="1"/>
      <c r="D182" s="1"/>
      <c r="E182" s="1"/>
      <c r="F182" s="1"/>
      <c r="G182" s="1"/>
      <c r="H182" s="1"/>
      <c r="I182" s="1"/>
      <c r="J182" s="1"/>
    </row>
    <row r="183" spans="2:10" x14ac:dyDescent="0.2">
      <c r="B183" s="1"/>
      <c r="C183" s="1"/>
      <c r="D183" s="1"/>
      <c r="E183" s="1"/>
      <c r="F183" s="1"/>
      <c r="G183" s="1"/>
      <c r="H183" s="1"/>
      <c r="I183" s="1"/>
      <c r="J183" s="1"/>
    </row>
    <row r="184" spans="2:10" x14ac:dyDescent="0.2">
      <c r="B184" s="1"/>
      <c r="C184" s="1"/>
      <c r="D184" s="1"/>
      <c r="E184" s="1"/>
      <c r="F184" s="1"/>
      <c r="G184" s="1"/>
      <c r="H184" s="1"/>
      <c r="I184" s="1"/>
      <c r="J184" s="1"/>
    </row>
    <row r="185" spans="2:10" x14ac:dyDescent="0.2">
      <c r="B185" s="1"/>
      <c r="C185" s="1"/>
      <c r="D185" s="1"/>
      <c r="E185" s="1"/>
      <c r="F185" s="1"/>
      <c r="G185" s="1"/>
      <c r="H185" s="1"/>
      <c r="I185" s="1"/>
      <c r="J185" s="1"/>
    </row>
    <row r="186" spans="2:10" x14ac:dyDescent="0.2">
      <c r="B186" s="1"/>
      <c r="C186" s="1"/>
      <c r="D186" s="1"/>
      <c r="E186" s="1"/>
      <c r="F186" s="1"/>
      <c r="G186" s="1"/>
      <c r="H186" s="1"/>
      <c r="I186" s="1"/>
      <c r="J186" s="1"/>
    </row>
    <row r="187" spans="2:10" x14ac:dyDescent="0.2">
      <c r="B187" s="1"/>
      <c r="C187" s="1"/>
      <c r="D187" s="1"/>
      <c r="E187" s="1"/>
      <c r="F187" s="1"/>
      <c r="G187" s="1"/>
      <c r="H187" s="1"/>
      <c r="I187" s="1"/>
      <c r="J187" s="1"/>
    </row>
    <row r="188" spans="2:10" x14ac:dyDescent="0.2">
      <c r="B188" s="1"/>
      <c r="C188" s="1"/>
      <c r="D188" s="1"/>
      <c r="E188" s="1"/>
      <c r="F188" s="1"/>
      <c r="G188" s="1"/>
      <c r="H188" s="1"/>
      <c r="I188" s="1"/>
      <c r="J188" s="1"/>
    </row>
    <row r="189" spans="2:10" x14ac:dyDescent="0.2">
      <c r="B189" s="1"/>
      <c r="C189" s="1"/>
      <c r="D189" s="1"/>
      <c r="E189" s="1"/>
      <c r="F189" s="1"/>
      <c r="G189" s="1"/>
      <c r="H189" s="1"/>
      <c r="I189" s="1"/>
      <c r="J189" s="1"/>
    </row>
    <row r="190" spans="2:10" x14ac:dyDescent="0.2">
      <c r="B190" s="1"/>
      <c r="C190" s="1"/>
      <c r="D190" s="1"/>
      <c r="E190" s="1"/>
      <c r="F190" s="1"/>
      <c r="G190" s="1"/>
      <c r="H190" s="1"/>
      <c r="I190" s="1"/>
      <c r="J190" s="1"/>
    </row>
    <row r="191" spans="2:10" x14ac:dyDescent="0.2">
      <c r="B191" s="1"/>
      <c r="C191" s="1"/>
      <c r="D191" s="1"/>
      <c r="E191" s="1"/>
      <c r="F191" s="1"/>
      <c r="G191" s="1"/>
      <c r="H191" s="1"/>
      <c r="I191" s="1"/>
      <c r="J191" s="1"/>
    </row>
    <row r="192" spans="2:10" x14ac:dyDescent="0.2">
      <c r="B192" s="1"/>
      <c r="C192" s="1"/>
      <c r="D192" s="1"/>
      <c r="E192" s="1"/>
      <c r="F192" s="1"/>
      <c r="G192" s="1"/>
      <c r="H192" s="1"/>
      <c r="I192" s="1"/>
      <c r="J192" s="1"/>
    </row>
    <row r="193" spans="2:10" x14ac:dyDescent="0.2">
      <c r="B193" s="1"/>
      <c r="C193" s="1"/>
      <c r="D193" s="1"/>
      <c r="E193" s="1"/>
      <c r="F193" s="1"/>
      <c r="G193" s="1"/>
      <c r="H193" s="1"/>
      <c r="I193" s="1"/>
      <c r="J193" s="1"/>
    </row>
    <row r="194" spans="2:10" x14ac:dyDescent="0.2">
      <c r="B194" s="1"/>
      <c r="C194" s="1"/>
      <c r="D194" s="1"/>
      <c r="E194" s="1"/>
      <c r="F194" s="1"/>
      <c r="G194" s="1"/>
      <c r="H194" s="1"/>
      <c r="I194" s="1"/>
      <c r="J194" s="1"/>
    </row>
    <row r="195" spans="2:10" x14ac:dyDescent="0.2">
      <c r="B195" s="1"/>
      <c r="C195" s="1"/>
      <c r="D195" s="1"/>
      <c r="E195" s="1"/>
      <c r="F195" s="1"/>
      <c r="G195" s="1"/>
      <c r="H195" s="1"/>
      <c r="I195" s="1"/>
      <c r="J195" s="1"/>
    </row>
    <row r="196" spans="2:10" x14ac:dyDescent="0.2">
      <c r="B196" s="1"/>
      <c r="C196" s="1"/>
      <c r="D196" s="1"/>
      <c r="E196" s="1"/>
      <c r="F196" s="1"/>
      <c r="G196" s="1"/>
      <c r="H196" s="1"/>
      <c r="I196" s="1"/>
      <c r="J196" s="1"/>
    </row>
    <row r="197" spans="2:10" x14ac:dyDescent="0.2">
      <c r="B197" s="1"/>
      <c r="C197" s="1"/>
      <c r="D197" s="1"/>
      <c r="E197" s="1"/>
      <c r="F197" s="1"/>
      <c r="G197" s="1"/>
      <c r="H197" s="1"/>
      <c r="I197" s="1"/>
      <c r="J197" s="1"/>
    </row>
    <row r="198" spans="2:10" x14ac:dyDescent="0.2">
      <c r="B198" s="1"/>
      <c r="C198" s="1"/>
      <c r="D198" s="1"/>
      <c r="E198" s="1"/>
      <c r="F198" s="1"/>
      <c r="G198" s="1"/>
      <c r="H198" s="1"/>
      <c r="I198" s="1"/>
      <c r="J198" s="1"/>
    </row>
    <row r="199" spans="2:10" x14ac:dyDescent="0.2">
      <c r="B199" s="1"/>
      <c r="C199" s="1"/>
      <c r="D199" s="1"/>
      <c r="E199" s="1"/>
      <c r="F199" s="1"/>
      <c r="G199" s="1"/>
      <c r="H199" s="1"/>
      <c r="I199" s="1"/>
      <c r="J199" s="1"/>
    </row>
    <row r="200" spans="2:10" x14ac:dyDescent="0.2">
      <c r="B200" s="1"/>
      <c r="C200" s="1"/>
      <c r="D200" s="1"/>
      <c r="E200" s="1"/>
      <c r="F200" s="1"/>
      <c r="G200" s="1"/>
      <c r="H200" s="1"/>
      <c r="I200" s="1"/>
      <c r="J200" s="1"/>
    </row>
    <row r="201" spans="2:10" x14ac:dyDescent="0.2">
      <c r="B201" s="1"/>
      <c r="C201" s="1"/>
      <c r="D201" s="1"/>
      <c r="E201" s="1"/>
      <c r="F201" s="1"/>
      <c r="G201" s="1"/>
      <c r="H201" s="1"/>
      <c r="I201" s="1"/>
      <c r="J201" s="1"/>
    </row>
    <row r="202" spans="2:10" x14ac:dyDescent="0.2">
      <c r="B202" s="1"/>
      <c r="C202" s="1"/>
      <c r="D202" s="1"/>
      <c r="E202" s="1"/>
      <c r="F202" s="1"/>
      <c r="G202" s="1"/>
      <c r="H202" s="1"/>
      <c r="I202" s="1"/>
      <c r="J202" s="1"/>
    </row>
    <row r="203" spans="2:10" x14ac:dyDescent="0.2">
      <c r="B203" s="1"/>
      <c r="C203" s="1"/>
      <c r="D203" s="1"/>
      <c r="E203" s="1"/>
      <c r="F203" s="1"/>
      <c r="G203" s="1"/>
      <c r="H203" s="1"/>
      <c r="I203" s="1"/>
      <c r="J203" s="1"/>
    </row>
    <row r="204" spans="2:10" x14ac:dyDescent="0.2">
      <c r="B204" s="1"/>
      <c r="C204" s="1"/>
      <c r="D204" s="1"/>
      <c r="E204" s="1"/>
      <c r="F204" s="1"/>
      <c r="G204" s="1"/>
      <c r="H204" s="1"/>
      <c r="I204" s="1"/>
      <c r="J204" s="1"/>
    </row>
    <row r="205" spans="2:10" x14ac:dyDescent="0.2">
      <c r="B205" s="1"/>
      <c r="C205" s="1"/>
      <c r="D205" s="1"/>
      <c r="E205" s="1"/>
      <c r="F205" s="1"/>
      <c r="G205" s="1"/>
      <c r="H205" s="1"/>
      <c r="I205" s="1"/>
      <c r="J205" s="1"/>
    </row>
    <row r="206" spans="2:10" x14ac:dyDescent="0.2">
      <c r="B206" s="1"/>
      <c r="C206" s="1"/>
      <c r="D206" s="1"/>
      <c r="E206" s="1"/>
      <c r="F206" s="1"/>
      <c r="G206" s="1"/>
      <c r="H206" s="1"/>
      <c r="I206" s="1"/>
      <c r="J206" s="1"/>
    </row>
    <row r="207" spans="2:10" x14ac:dyDescent="0.2">
      <c r="B207" s="1"/>
      <c r="C207" s="1"/>
      <c r="D207" s="1"/>
      <c r="E207" s="1"/>
      <c r="F207" s="1"/>
      <c r="G207" s="1"/>
      <c r="H207" s="1"/>
      <c r="I207" s="1"/>
      <c r="J207" s="1"/>
    </row>
    <row r="208" spans="2:10" x14ac:dyDescent="0.2">
      <c r="B208" s="1"/>
      <c r="C208" s="1"/>
      <c r="D208" s="1"/>
      <c r="E208" s="1"/>
      <c r="F208" s="1"/>
      <c r="G208" s="1"/>
      <c r="H208" s="1"/>
      <c r="I208" s="1"/>
      <c r="J208" s="1"/>
    </row>
    <row r="211" spans="2:10" x14ac:dyDescent="0.2">
      <c r="B211" s="1"/>
      <c r="C211" s="1"/>
      <c r="D211" s="1"/>
      <c r="E211" s="1"/>
      <c r="F211" s="1"/>
      <c r="G211" s="1"/>
    </row>
    <row r="212" spans="2:10" x14ac:dyDescent="0.2">
      <c r="B212" s="1"/>
      <c r="C212" s="1"/>
      <c r="D212" s="1"/>
      <c r="E212" s="1"/>
      <c r="F212" s="1"/>
      <c r="G212" s="1"/>
    </row>
    <row r="213" spans="2:10" x14ac:dyDescent="0.2">
      <c r="B213" s="1"/>
      <c r="C213" s="1"/>
      <c r="D213" s="1"/>
      <c r="E213" s="1"/>
      <c r="F213" s="1"/>
      <c r="G213" s="1"/>
    </row>
    <row r="214" spans="2:10" x14ac:dyDescent="0.2">
      <c r="B214" s="1"/>
      <c r="C214" s="1"/>
      <c r="D214" s="1"/>
      <c r="E214" s="1"/>
      <c r="F214" s="1"/>
      <c r="G214" s="1"/>
    </row>
    <row r="215" spans="2:10" x14ac:dyDescent="0.2">
      <c r="B215" s="1"/>
      <c r="C215" s="1"/>
      <c r="D215" s="1"/>
      <c r="E215" s="1"/>
      <c r="F215" s="1"/>
      <c r="G215" s="1"/>
    </row>
    <row r="216" spans="2:10" x14ac:dyDescent="0.2">
      <c r="B216" s="1"/>
      <c r="C216" s="1"/>
      <c r="D216" s="1"/>
      <c r="E216" s="1"/>
      <c r="F216" s="1"/>
      <c r="G216" s="1"/>
    </row>
    <row r="217" spans="2:10" x14ac:dyDescent="0.2">
      <c r="B217" s="1"/>
      <c r="C217" s="1"/>
      <c r="D217" s="1"/>
      <c r="E217" s="1"/>
      <c r="F217" s="1"/>
      <c r="G217" s="1"/>
    </row>
    <row r="218" spans="2:10" x14ac:dyDescent="0.2">
      <c r="B218" s="1"/>
      <c r="C218" s="1"/>
      <c r="D218" s="1"/>
      <c r="E218" s="1"/>
      <c r="F218" s="1"/>
      <c r="G218" s="1"/>
      <c r="I218" s="1"/>
      <c r="J218" s="1"/>
    </row>
    <row r="219" spans="2:10" x14ac:dyDescent="0.2">
      <c r="B219" s="1"/>
      <c r="C219" s="1"/>
      <c r="D219" s="1"/>
      <c r="E219" s="1"/>
      <c r="F219" s="1"/>
      <c r="G219" s="1"/>
      <c r="I219" s="1"/>
      <c r="J219" s="1"/>
    </row>
    <row r="220" spans="2:10" x14ac:dyDescent="0.2">
      <c r="B220" s="1"/>
      <c r="C220" s="1"/>
      <c r="D220" s="1"/>
      <c r="E220" s="1"/>
      <c r="F220" s="1"/>
      <c r="G220" s="1"/>
      <c r="I220" s="1"/>
      <c r="J220" s="1"/>
    </row>
    <row r="221" spans="2:10" x14ac:dyDescent="0.2">
      <c r="B221" s="1"/>
      <c r="C221" s="1"/>
      <c r="D221" s="1"/>
      <c r="E221" s="1"/>
      <c r="F221" s="1"/>
      <c r="G221" s="1"/>
      <c r="I221" s="1"/>
      <c r="J221" s="1"/>
    </row>
    <row r="222" spans="2:10" x14ac:dyDescent="0.2">
      <c r="B222" s="1"/>
      <c r="C222" s="1"/>
      <c r="D222" s="1"/>
      <c r="E222" s="1"/>
      <c r="F222" s="1"/>
      <c r="G222" s="1"/>
      <c r="I222" s="1"/>
      <c r="J222" s="1"/>
    </row>
    <row r="223" spans="2:10" x14ac:dyDescent="0.2">
      <c r="B223" s="1"/>
      <c r="C223" s="1"/>
      <c r="D223" s="1"/>
      <c r="E223" s="1"/>
      <c r="F223" s="1"/>
      <c r="G223" s="1"/>
      <c r="I223" s="1"/>
      <c r="J223" s="1"/>
    </row>
    <row r="224" spans="2:10" x14ac:dyDescent="0.2">
      <c r="B224" s="1"/>
      <c r="C224" s="1"/>
      <c r="D224" s="1"/>
      <c r="E224" s="1"/>
      <c r="F224" s="1"/>
      <c r="G224" s="1"/>
      <c r="I224" s="1"/>
      <c r="J224" s="1"/>
    </row>
    <row r="225" spans="2:10" x14ac:dyDescent="0.2">
      <c r="B225" s="1"/>
      <c r="C225" s="1"/>
      <c r="D225" s="1"/>
      <c r="E225" s="1"/>
      <c r="F225" s="1"/>
      <c r="G225" s="1"/>
      <c r="I225" s="1"/>
      <c r="J225" s="1"/>
    </row>
    <row r="226" spans="2:10" x14ac:dyDescent="0.2">
      <c r="B226" s="1"/>
      <c r="C226" s="1"/>
      <c r="D226" s="1"/>
      <c r="E226" s="1"/>
      <c r="F226" s="1"/>
      <c r="G226" s="1"/>
      <c r="I226" s="1"/>
      <c r="J226" s="1"/>
    </row>
    <row r="227" spans="2:10" x14ac:dyDescent="0.2">
      <c r="B227" s="1"/>
      <c r="C227" s="1"/>
      <c r="D227" s="1"/>
      <c r="E227" s="1"/>
      <c r="F227" s="1"/>
      <c r="G227" s="1"/>
      <c r="I227" s="1"/>
      <c r="J227" s="1"/>
    </row>
    <row r="228" spans="2:10" x14ac:dyDescent="0.2">
      <c r="B228" s="1"/>
      <c r="C228" s="1"/>
      <c r="D228" s="1"/>
      <c r="E228" s="1"/>
      <c r="F228" s="1"/>
      <c r="G228" s="1"/>
      <c r="I228" s="1"/>
      <c r="J228" s="1"/>
    </row>
    <row r="229" spans="2:10" x14ac:dyDescent="0.2">
      <c r="B229" s="1"/>
      <c r="C229" s="1"/>
      <c r="D229" s="1"/>
      <c r="E229" s="1"/>
      <c r="F229" s="1"/>
      <c r="G229" s="1"/>
      <c r="I229" s="1"/>
      <c r="J229" s="1"/>
    </row>
    <row r="230" spans="2:10" x14ac:dyDescent="0.2">
      <c r="B230" s="1"/>
      <c r="C230" s="1"/>
      <c r="D230" s="1"/>
      <c r="E230" s="1"/>
      <c r="F230" s="1"/>
      <c r="G230" s="1"/>
      <c r="I230" s="1"/>
      <c r="J230" s="1"/>
    </row>
    <row r="231" spans="2:10" x14ac:dyDescent="0.2">
      <c r="B231" s="1"/>
      <c r="C231" s="1"/>
      <c r="D231" s="1"/>
      <c r="E231" s="1"/>
      <c r="F231" s="1"/>
      <c r="G231" s="1"/>
      <c r="I231" s="1"/>
      <c r="J231" s="1"/>
    </row>
    <row r="232" spans="2:10" x14ac:dyDescent="0.2">
      <c r="B232" s="1"/>
      <c r="C232" s="1"/>
      <c r="D232" s="1"/>
      <c r="E232" s="1"/>
      <c r="F232" s="1"/>
      <c r="G232" s="1"/>
      <c r="I232" s="1"/>
      <c r="J232" s="1"/>
    </row>
    <row r="233" spans="2:10" x14ac:dyDescent="0.2">
      <c r="B233" s="1"/>
      <c r="C233" s="1"/>
      <c r="D233" s="1"/>
      <c r="E233" s="1"/>
      <c r="F233" s="1"/>
      <c r="G233" s="1"/>
      <c r="I233" s="1"/>
      <c r="J233" s="1"/>
    </row>
    <row r="234" spans="2:10" x14ac:dyDescent="0.2">
      <c r="B234" s="1"/>
      <c r="C234" s="1"/>
      <c r="D234" s="1"/>
      <c r="E234" s="1"/>
      <c r="F234" s="1"/>
      <c r="G234" s="1"/>
      <c r="I234" s="1"/>
      <c r="J234" s="1"/>
    </row>
    <row r="235" spans="2:10" x14ac:dyDescent="0.2">
      <c r="B235" s="1"/>
      <c r="C235" s="1"/>
      <c r="D235" s="1"/>
      <c r="E235" s="1"/>
      <c r="F235" s="1"/>
      <c r="G235" s="1"/>
      <c r="I235" s="1"/>
      <c r="J235" s="1"/>
    </row>
    <row r="236" spans="2:10" x14ac:dyDescent="0.2">
      <c r="B236" s="1"/>
      <c r="C236" s="1"/>
      <c r="D236" s="1"/>
      <c r="E236" s="1"/>
      <c r="F236" s="1"/>
      <c r="G236" s="1"/>
      <c r="I236" s="1"/>
      <c r="J236" s="1"/>
    </row>
    <row r="237" spans="2:10" x14ac:dyDescent="0.2">
      <c r="B237" s="1"/>
      <c r="C237" s="1"/>
      <c r="D237" s="1"/>
      <c r="E237" s="1"/>
      <c r="F237" s="1"/>
      <c r="G237" s="1"/>
      <c r="I237" s="1"/>
      <c r="J237" s="1"/>
    </row>
    <row r="238" spans="2:10" x14ac:dyDescent="0.2">
      <c r="B238" s="1"/>
      <c r="C238" s="1"/>
      <c r="D238" s="1"/>
      <c r="E238" s="1"/>
      <c r="F238" s="1"/>
      <c r="G238" s="1"/>
      <c r="I238" s="1"/>
      <c r="J238" s="1"/>
    </row>
    <row r="239" spans="2:10" x14ac:dyDescent="0.2">
      <c r="B239" s="1"/>
      <c r="C239" s="1"/>
      <c r="D239" s="1"/>
      <c r="E239" s="1"/>
      <c r="F239" s="1"/>
      <c r="G239" s="1"/>
      <c r="I239" s="1"/>
      <c r="J239" s="1"/>
    </row>
    <row r="240" spans="2:10" x14ac:dyDescent="0.2">
      <c r="B240" s="1"/>
      <c r="C240" s="1"/>
      <c r="D240" s="1"/>
      <c r="E240" s="1"/>
      <c r="F240" s="1"/>
      <c r="G240" s="1"/>
      <c r="I240" s="1"/>
      <c r="J240" s="1"/>
    </row>
    <row r="241" spans="2:10" x14ac:dyDescent="0.2">
      <c r="B241" s="1"/>
      <c r="C241" s="1"/>
      <c r="D241" s="1"/>
      <c r="E241" s="1"/>
      <c r="F241" s="1"/>
      <c r="G241" s="1"/>
      <c r="I241" s="1"/>
      <c r="J241" s="1"/>
    </row>
    <row r="242" spans="2:10" x14ac:dyDescent="0.2">
      <c r="B242" s="1"/>
      <c r="C242" s="1"/>
      <c r="D242" s="1"/>
      <c r="E242" s="1"/>
      <c r="F242" s="1"/>
      <c r="G242" s="1"/>
      <c r="I242" s="1"/>
      <c r="J242" s="1"/>
    </row>
    <row r="243" spans="2:10" x14ac:dyDescent="0.2">
      <c r="B243" s="1"/>
      <c r="C243" s="1"/>
      <c r="D243" s="1"/>
      <c r="E243" s="1"/>
      <c r="F243" s="1"/>
      <c r="G243" s="1"/>
      <c r="I243" s="1"/>
      <c r="J243" s="1"/>
    </row>
    <row r="244" spans="2:10" x14ac:dyDescent="0.2">
      <c r="B244" s="1"/>
      <c r="C244" s="1"/>
      <c r="D244" s="1"/>
      <c r="E244" s="1"/>
      <c r="F244" s="1"/>
      <c r="G244" s="1"/>
      <c r="I244" s="1"/>
      <c r="J244" s="1"/>
    </row>
    <row r="245" spans="2:10" x14ac:dyDescent="0.2">
      <c r="B245" s="1"/>
      <c r="C245" s="1"/>
      <c r="D245" s="1"/>
      <c r="E245" s="1"/>
      <c r="F245" s="1"/>
      <c r="G245" s="1"/>
      <c r="I245" s="1"/>
      <c r="J245" s="1"/>
    </row>
    <row r="246" spans="2:10" x14ac:dyDescent="0.2">
      <c r="B246" s="1"/>
      <c r="C246" s="1"/>
      <c r="D246" s="1"/>
      <c r="E246" s="1"/>
      <c r="F246" s="1"/>
      <c r="G246" s="1"/>
      <c r="I246" s="1"/>
      <c r="J246" s="1"/>
    </row>
    <row r="247" spans="2:10" x14ac:dyDescent="0.2">
      <c r="B247" s="1"/>
      <c r="C247" s="1"/>
      <c r="D247" s="1"/>
      <c r="E247" s="1"/>
      <c r="F247" s="1"/>
      <c r="G247" s="1"/>
      <c r="I247" s="1"/>
      <c r="J247" s="1"/>
    </row>
    <row r="248" spans="2:10" x14ac:dyDescent="0.2">
      <c r="B248" s="1"/>
      <c r="C248" s="1"/>
      <c r="D248" s="1"/>
      <c r="E248" s="1"/>
      <c r="F248" s="1"/>
      <c r="G248" s="1"/>
      <c r="I248" s="1"/>
      <c r="J248" s="1"/>
    </row>
    <row r="249" spans="2:10" x14ac:dyDescent="0.2">
      <c r="B249" s="1"/>
      <c r="C249" s="1"/>
      <c r="D249" s="1"/>
      <c r="E249" s="1"/>
      <c r="F249" s="1"/>
      <c r="G249" s="1"/>
      <c r="I249" s="1"/>
      <c r="J249" s="1"/>
    </row>
    <row r="250" spans="2:10" x14ac:dyDescent="0.2">
      <c r="B250" s="1"/>
      <c r="C250" s="1"/>
      <c r="D250" s="1"/>
      <c r="E250" s="1"/>
      <c r="F250" s="1"/>
      <c r="G250" s="1"/>
      <c r="I250" s="1"/>
      <c r="J250" s="1"/>
    </row>
    <row r="251" spans="2:10" x14ac:dyDescent="0.2">
      <c r="B251" s="1"/>
      <c r="C251" s="1"/>
      <c r="D251" s="1"/>
      <c r="E251" s="1"/>
      <c r="F251" s="1"/>
      <c r="G251" s="1"/>
      <c r="I251" s="1"/>
      <c r="J251" s="1"/>
    </row>
    <row r="252" spans="2:10" x14ac:dyDescent="0.2">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E166:G166"/>
    <mergeCell ref="G100:G112"/>
    <mergeCell ref="B113:B122"/>
    <mergeCell ref="D113:D122"/>
    <mergeCell ref="B123:B138"/>
    <mergeCell ref="C123:C130"/>
    <mergeCell ref="D131:D138"/>
    <mergeCell ref="G131:G138"/>
    <mergeCell ref="B90:B112"/>
    <mergeCell ref="C90:C94"/>
    <mergeCell ref="D100:D112"/>
    <mergeCell ref="N1:O1"/>
    <mergeCell ref="M2:N2"/>
    <mergeCell ref="M3:N3"/>
    <mergeCell ref="M4:P5"/>
    <mergeCell ref="M6:N6"/>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32"/>
  <sheetViews>
    <sheetView showZeros="0" zoomScaleNormal="100" workbookViewId="0">
      <selection activeCell="D10" sqref="D10"/>
    </sheetView>
  </sheetViews>
  <sheetFormatPr defaultColWidth="8.7109375" defaultRowHeight="12.75" x14ac:dyDescent="0.2"/>
  <cols>
    <col min="2" max="2" width="25.85546875" customWidth="1"/>
    <col min="3" max="3" width="17.28515625" customWidth="1"/>
  </cols>
  <sheetData>
    <row r="1" spans="1:3" x14ac:dyDescent="0.2">
      <c r="A1">
        <f>'Set up ~ Config'!H10</f>
        <v>0</v>
      </c>
      <c r="B1" t="s">
        <v>397</v>
      </c>
    </row>
    <row r="2" spans="1:3" x14ac:dyDescent="0.2">
      <c r="A2" s="477">
        <f>'Set up ~ Config'!H12</f>
        <v>0</v>
      </c>
      <c r="B2" t="s">
        <v>398</v>
      </c>
    </row>
    <row r="3" spans="1:3" x14ac:dyDescent="0.2">
      <c r="A3" t="str">
        <f>'Set up ~ Config'!C11</f>
        <v>British Columbia</v>
      </c>
      <c r="B3" t="s">
        <v>129</v>
      </c>
    </row>
    <row r="4" spans="1:3" x14ac:dyDescent="0.2">
      <c r="A4">
        <f>'ACC9 (Pages 2-3) Rev'!J8</f>
        <v>0</v>
      </c>
      <c r="B4" t="s">
        <v>399</v>
      </c>
      <c r="C4" s="26">
        <v>4010</v>
      </c>
    </row>
    <row r="5" spans="1:3" x14ac:dyDescent="0.2">
      <c r="A5">
        <f>'ACC9 (Pages 2-3) Rev'!K17</f>
        <v>0</v>
      </c>
      <c r="B5" t="s">
        <v>400</v>
      </c>
      <c r="C5" s="26">
        <v>4099</v>
      </c>
    </row>
    <row r="6" spans="1:3" x14ac:dyDescent="0.2">
      <c r="A6">
        <f>'ACC9 (Pages 2-3) Rev'!K29</f>
        <v>0</v>
      </c>
      <c r="B6" t="s">
        <v>401</v>
      </c>
      <c r="C6" s="26">
        <v>4299</v>
      </c>
    </row>
    <row r="7" spans="1:3" x14ac:dyDescent="0.2">
      <c r="A7">
        <f>'ACC9 (Pages 2-3) Rev'!K41</f>
        <v>0</v>
      </c>
      <c r="B7" t="s">
        <v>402</v>
      </c>
      <c r="C7" s="26">
        <v>4499</v>
      </c>
    </row>
    <row r="8" spans="1:3" x14ac:dyDescent="0.2">
      <c r="A8">
        <f>'ACC9 (Pages 2-3) Rev'!K29+'ACC9 (Pages 2-3) Rev'!K41</f>
        <v>0</v>
      </c>
      <c r="B8" s="861" t="s">
        <v>491</v>
      </c>
      <c r="C8" s="860" t="s">
        <v>492</v>
      </c>
    </row>
    <row r="9" spans="1:3" x14ac:dyDescent="0.2">
      <c r="A9">
        <f>'ACC9 (Pages 2-3) Rev'!K53</f>
        <v>0</v>
      </c>
      <c r="B9" t="s">
        <v>403</v>
      </c>
      <c r="C9" s="26">
        <v>4699</v>
      </c>
    </row>
    <row r="10" spans="1:3" x14ac:dyDescent="0.2">
      <c r="A10">
        <f>'ACC9 (Pages 2-3) Rev'!K66</f>
        <v>0</v>
      </c>
      <c r="B10" t="s">
        <v>404</v>
      </c>
      <c r="C10" s="26">
        <v>4899</v>
      </c>
    </row>
    <row r="11" spans="1:3" x14ac:dyDescent="0.2">
      <c r="A11">
        <f>'ACC9 (Pages 2-3) Rev'!K68</f>
        <v>0</v>
      </c>
      <c r="B11" t="s">
        <v>405</v>
      </c>
      <c r="C11" s="26">
        <v>5000</v>
      </c>
    </row>
    <row r="12" spans="1:3" x14ac:dyDescent="0.2">
      <c r="A12">
        <f>'ACC9 (Pages 4-5-6) Exp~Dép'!J12</f>
        <v>0</v>
      </c>
      <c r="B12" t="s">
        <v>406</v>
      </c>
      <c r="C12" s="26">
        <v>5030</v>
      </c>
    </row>
    <row r="13" spans="1:3" x14ac:dyDescent="0.2">
      <c r="A13">
        <f>'ACC9 (Pages 4-5-6) Exp~Dép'!J13</f>
        <v>0</v>
      </c>
      <c r="B13" t="s">
        <v>407</v>
      </c>
      <c r="C13" s="26">
        <v>5040</v>
      </c>
    </row>
    <row r="14" spans="1:3" x14ac:dyDescent="0.2">
      <c r="A14">
        <f>'ACC9 (Pages 4-5-6) Exp~Dép'!K36</f>
        <v>0</v>
      </c>
      <c r="B14" t="s">
        <v>408</v>
      </c>
      <c r="C14" s="26">
        <v>5299</v>
      </c>
    </row>
    <row r="15" spans="1:3" x14ac:dyDescent="0.2">
      <c r="A15">
        <f>'ACC9 (Pages 4-5-6) Exp~Dép'!K54</f>
        <v>0</v>
      </c>
      <c r="B15" t="s">
        <v>485</v>
      </c>
      <c r="C15" s="26">
        <v>5399</v>
      </c>
    </row>
    <row r="16" spans="1:3" x14ac:dyDescent="0.2">
      <c r="A16">
        <f>'ACC9 (Pages 4-5-6) Exp~Dép'!K67</f>
        <v>0</v>
      </c>
      <c r="B16" t="s">
        <v>486</v>
      </c>
      <c r="C16" s="26">
        <v>5499</v>
      </c>
    </row>
    <row r="17" spans="1:3" x14ac:dyDescent="0.2">
      <c r="A17">
        <f>'ACC9 (Pages 4-5-6) Exp~Dép'!K79</f>
        <v>0</v>
      </c>
      <c r="B17" t="s">
        <v>487</v>
      </c>
      <c r="C17" s="26">
        <v>5599</v>
      </c>
    </row>
    <row r="18" spans="1:3" x14ac:dyDescent="0.2">
      <c r="A18">
        <f>'ACC9 (Pages 4-5-6) Exp~Dép'!K54+'ACC9 (Pages 4-5-6) Exp~Dép'!K67+'ACC9 (Pages 4-5-6) Exp~Dép'!K79</f>
        <v>0</v>
      </c>
      <c r="B18" t="s">
        <v>409</v>
      </c>
      <c r="C18" s="860" t="s">
        <v>488</v>
      </c>
    </row>
    <row r="19" spans="1:3" x14ac:dyDescent="0.2">
      <c r="A19">
        <f>'ACC9 (Pages 4-5-6) Exp~Dép'!K91</f>
        <v>0</v>
      </c>
      <c r="B19" t="s">
        <v>479</v>
      </c>
      <c r="C19" s="26">
        <v>5699</v>
      </c>
    </row>
    <row r="20" spans="1:3" x14ac:dyDescent="0.2">
      <c r="A20">
        <f>'ACC9 (Pages 4-5-6) Exp~Dép'!K103</f>
        <v>0</v>
      </c>
      <c r="B20" t="s">
        <v>410</v>
      </c>
      <c r="C20" s="26">
        <v>5799</v>
      </c>
    </row>
    <row r="21" spans="1:3" x14ac:dyDescent="0.2">
      <c r="A21">
        <f>'ACC9 (Pages 4-5-6) Exp~Dép'!K91+'ACC9 (Pages 4-5-6) Exp~Dép'!K103</f>
        <v>0</v>
      </c>
      <c r="B21" s="861" t="s">
        <v>489</v>
      </c>
      <c r="C21" s="860" t="s">
        <v>490</v>
      </c>
    </row>
    <row r="22" spans="1:3" x14ac:dyDescent="0.2">
      <c r="A22">
        <f>'ACC9 (Pages 4-5-6) Exp~Dép'!K114</f>
        <v>0</v>
      </c>
      <c r="B22" t="s">
        <v>411</v>
      </c>
      <c r="C22" s="26">
        <v>5899</v>
      </c>
    </row>
    <row r="23" spans="1:3" x14ac:dyDescent="0.2">
      <c r="A23">
        <f>'ACC9 (Pages 4-5-6) Exp~Dép'!K116</f>
        <v>0</v>
      </c>
      <c r="B23" t="s">
        <v>480</v>
      </c>
      <c r="C23" s="26">
        <v>6000</v>
      </c>
    </row>
    <row r="24" spans="1:3" x14ac:dyDescent="0.2">
      <c r="A24">
        <f>'ACC9 (Page 7-8) Bal Sh~Bilan'!N26</f>
        <v>0</v>
      </c>
      <c r="B24" t="s">
        <v>412</v>
      </c>
      <c r="C24" s="26">
        <v>1100</v>
      </c>
    </row>
    <row r="25" spans="1:3" x14ac:dyDescent="0.2">
      <c r="A25">
        <f>'ACC9 (Page 7-8) Bal Sh~Bilan'!N37</f>
        <v>0</v>
      </c>
      <c r="B25" t="s">
        <v>481</v>
      </c>
      <c r="C25" s="26">
        <v>1300</v>
      </c>
    </row>
    <row r="26" spans="1:3" x14ac:dyDescent="0.2">
      <c r="A26">
        <f>'ACC9 (Page 7-8) Bal Sh~Bilan'!L53</f>
        <v>0</v>
      </c>
      <c r="B26" t="s">
        <v>413</v>
      </c>
      <c r="C26" s="26">
        <v>1700</v>
      </c>
    </row>
    <row r="27" spans="1:3" x14ac:dyDescent="0.2">
      <c r="A27">
        <f>'ACC9 (Page 7-8) Bal Sh~Bilan'!L56</f>
        <v>0</v>
      </c>
      <c r="B27" t="s">
        <v>482</v>
      </c>
      <c r="C27" s="26">
        <v>1900</v>
      </c>
    </row>
    <row r="28" spans="1:3" x14ac:dyDescent="0.2">
      <c r="A28">
        <f>'ACC9 (Page 7-8) Bal Sh~Bilan'!N69</f>
        <v>0</v>
      </c>
      <c r="B28" t="s">
        <v>414</v>
      </c>
      <c r="C28" s="26">
        <v>2100</v>
      </c>
    </row>
    <row r="29" spans="1:3" x14ac:dyDescent="0.2">
      <c r="A29">
        <f>'ACC9 (Page 7-8) Bal Sh~Bilan'!N80</f>
        <v>0</v>
      </c>
      <c r="B29" t="s">
        <v>415</v>
      </c>
      <c r="C29" s="26">
        <v>2300</v>
      </c>
    </row>
    <row r="30" spans="1:3" x14ac:dyDescent="0.2">
      <c r="A30">
        <f>'ACC9 (Page 7-8) Bal Sh~Bilan'!N81</f>
        <v>0</v>
      </c>
      <c r="B30" t="s">
        <v>483</v>
      </c>
      <c r="C30" s="26">
        <v>2400</v>
      </c>
    </row>
    <row r="31" spans="1:3" x14ac:dyDescent="0.2">
      <c r="A31">
        <f>'ACC9 (Page 7-8) Bal Sh~Bilan'!N89</f>
        <v>0</v>
      </c>
      <c r="B31" t="s">
        <v>484</v>
      </c>
      <c r="C31" s="26">
        <v>3400</v>
      </c>
    </row>
    <row r="32" spans="1:3" x14ac:dyDescent="0.2">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D16" sqref="D16"/>
    </sheetView>
  </sheetViews>
  <sheetFormatPr defaultColWidth="11.42578125" defaultRowHeight="12.75" x14ac:dyDescent="0.2"/>
  <cols>
    <col min="1" max="1" width="3.7109375" style="17" customWidth="1"/>
    <col min="2" max="2" width="4.140625" style="18" customWidth="1"/>
    <col min="3" max="3" width="7" style="12" customWidth="1"/>
    <col min="4" max="4" width="14.140625" style="12" customWidth="1"/>
    <col min="5" max="5" width="13.5703125" style="19" customWidth="1"/>
    <col min="6" max="6" width="57.5703125" style="12" customWidth="1"/>
    <col min="7" max="7" width="17.7109375" style="12" customWidth="1"/>
    <col min="8" max="8" width="27.42578125" style="12" customWidth="1"/>
    <col min="9" max="9" width="21.28515625" style="20" hidden="1" customWidth="1"/>
    <col min="10" max="10" width="17.140625" style="20" customWidth="1"/>
    <col min="11" max="12" width="12.140625" style="20" customWidth="1"/>
    <col min="13" max="13" width="12.140625" style="12" customWidth="1"/>
    <col min="14" max="14" width="9.5703125" style="12" hidden="1" customWidth="1"/>
    <col min="15" max="15" width="12.140625" style="12" hidden="1" customWidth="1"/>
    <col min="16" max="16" width="12.140625" style="12" customWidth="1"/>
    <col min="17" max="17" width="13" style="12" customWidth="1"/>
    <col min="18" max="67" width="13.7109375" style="12" customWidth="1"/>
    <col min="68" max="68" width="11.85546875" style="12" hidden="1" customWidth="1"/>
    <col min="69" max="69" width="9.28515625" style="1" customWidth="1"/>
    <col min="70" max="70" width="9.140625" style="1" customWidth="1"/>
    <col min="71" max="71" width="8.7109375" style="1" hidden="1" customWidth="1"/>
    <col min="72" max="72" width="8.5703125" style="1" hidden="1" customWidth="1"/>
    <col min="73" max="73" width="9.140625" style="1" customWidth="1"/>
    <col min="74" max="74" width="9.140625" style="1" hidden="1" customWidth="1"/>
    <col min="75" max="276" width="9.140625" style="1" customWidth="1"/>
    <col min="277" max="1025" width="11.42578125" style="1"/>
  </cols>
  <sheetData>
    <row r="1" spans="1:74" ht="33.75" customHeight="1" x14ac:dyDescent="0.4">
      <c r="B1" s="1337" t="str">
        <f>IF(C4=2, "Journal des revenus","Revenues Journal")</f>
        <v>Revenues Journal</v>
      </c>
      <c r="C1" s="1337"/>
      <c r="D1" s="1337"/>
      <c r="E1" s="1337"/>
      <c r="F1" s="1337"/>
      <c r="G1" s="1337"/>
      <c r="H1" s="1337"/>
      <c r="I1" s="1337"/>
      <c r="J1" s="1337"/>
      <c r="K1" s="600"/>
      <c r="L1" s="600"/>
      <c r="M1" s="600"/>
      <c r="N1" s="600"/>
      <c r="O1" s="600"/>
      <c r="P1" s="600"/>
      <c r="Q1" s="600">
        <v>1</v>
      </c>
      <c r="T1" s="21">
        <v>1</v>
      </c>
      <c r="BE1" s="721"/>
      <c r="BF1" s="721"/>
      <c r="BV1" s="12"/>
    </row>
    <row r="2" spans="1:74" ht="33.75" customHeight="1" thickBot="1" x14ac:dyDescent="0.25">
      <c r="B2" s="1338" t="str">
        <f>'Set up ~ Config'!B2:J2</f>
        <v xml:space="preserve">SSC </v>
      </c>
      <c r="C2" s="1338"/>
      <c r="D2" s="1338"/>
      <c r="E2" s="1338"/>
      <c r="F2" s="1338"/>
      <c r="G2" s="1338"/>
      <c r="H2" s="1338"/>
      <c r="I2" s="1338"/>
      <c r="J2" s="1338"/>
      <c r="K2" s="13"/>
      <c r="L2" s="13"/>
      <c r="M2" s="13"/>
      <c r="N2" s="13"/>
      <c r="O2" s="13"/>
      <c r="P2" s="13"/>
      <c r="Q2" s="13"/>
      <c r="R2" s="22"/>
      <c r="S2" s="22"/>
      <c r="T2" s="22"/>
      <c r="U2" s="22"/>
      <c r="V2" s="22"/>
      <c r="W2" s="22"/>
      <c r="AD2" s="1469"/>
      <c r="AE2" s="1469"/>
      <c r="AF2" s="1469"/>
      <c r="AG2" s="1469"/>
      <c r="AH2" s="1469"/>
      <c r="AI2" s="1469"/>
      <c r="AJ2" s="1469"/>
      <c r="AK2" s="1469"/>
      <c r="AL2" s="1469"/>
      <c r="AM2" s="1469"/>
      <c r="AN2" s="1469"/>
      <c r="AO2" s="1469"/>
      <c r="AP2" s="1469"/>
      <c r="AQ2" s="1469"/>
      <c r="AR2" s="1469"/>
      <c r="AS2" s="1469"/>
      <c r="AT2" s="1469"/>
      <c r="AU2" s="1469"/>
      <c r="BE2" s="722"/>
      <c r="BF2" s="722"/>
      <c r="BP2" s="20" t="s">
        <v>38</v>
      </c>
      <c r="BT2" s="20" t="s">
        <v>38</v>
      </c>
      <c r="BV2" s="12"/>
    </row>
    <row r="3" spans="1:74" ht="39" customHeight="1" thickTop="1" thickBot="1" x14ac:dyDescent="0.25">
      <c r="B3" s="1470" t="str">
        <f>IF(C4=2,"pour la période du "&amp;'Set up ~ Config'!N5&amp;" au "&amp;'Set up ~ Config'!N6,"For the period from "&amp;'Set up ~ Config'!N5&amp;" to "&amp;'Set up ~ Config'!N6)</f>
        <v>For the period from 2024-09-01 to 2025-08-31</v>
      </c>
      <c r="C3" s="1470"/>
      <c r="D3" s="1470"/>
      <c r="E3" s="1470"/>
      <c r="F3" s="1470"/>
      <c r="G3" s="1470"/>
      <c r="H3" s="1470"/>
      <c r="I3" s="1470"/>
      <c r="J3" s="1470"/>
      <c r="K3" s="611"/>
      <c r="L3" s="611"/>
      <c r="M3" s="611"/>
      <c r="N3" s="611"/>
      <c r="O3" s="611"/>
      <c r="P3" s="611"/>
      <c r="Q3" s="611"/>
      <c r="R3" s="613"/>
      <c r="S3" s="613"/>
      <c r="T3" s="613"/>
      <c r="U3" s="613"/>
      <c r="V3" s="613"/>
      <c r="W3" s="613"/>
      <c r="X3" s="613"/>
      <c r="Y3" s="613"/>
      <c r="Z3" s="613"/>
      <c r="AA3" s="613"/>
      <c r="AB3" s="613"/>
      <c r="AC3" s="613"/>
      <c r="AD3" s="1469"/>
      <c r="AE3" s="1469"/>
      <c r="AF3" s="1469"/>
      <c r="AG3" s="1469"/>
      <c r="AH3" s="1469"/>
      <c r="AI3" s="1469"/>
      <c r="AJ3" s="1469"/>
      <c r="AK3" s="1469"/>
      <c r="AL3" s="1469"/>
      <c r="AM3" s="1469"/>
      <c r="AN3" s="1469"/>
      <c r="AO3" s="1469"/>
      <c r="AP3" s="1469"/>
      <c r="AQ3" s="1469"/>
      <c r="AR3" s="1469"/>
      <c r="AS3" s="1469"/>
      <c r="AT3" s="1469"/>
      <c r="AU3" s="1469"/>
      <c r="BE3" s="1477" t="str">
        <f>IF($C$4=2,"Source fédérale seulement","Federal source only")</f>
        <v>Federal source only</v>
      </c>
      <c r="BF3" s="1478"/>
      <c r="BG3" s="1478"/>
      <c r="BH3" s="1479"/>
      <c r="BI3" s="1471" t="str">
        <f>IF($C$4=2,"Source provinciale/Terr. seulement","Provincial/Terr. source only")</f>
        <v>Provincial/Terr. source only</v>
      </c>
      <c r="BJ3" s="1471"/>
      <c r="BK3" s="1471"/>
      <c r="BL3" s="1471" t="str">
        <f>IF($C$4=2,"Source municipale/Régional seulement","Municipal/Regional source only")</f>
        <v>Municipal/Regional source only</v>
      </c>
      <c r="BM3" s="1471"/>
      <c r="BN3" s="1471"/>
      <c r="BP3" s="20" t="s">
        <v>39</v>
      </c>
      <c r="BS3" s="12"/>
      <c r="BT3" s="20" t="s">
        <v>39</v>
      </c>
      <c r="BV3" s="12"/>
    </row>
    <row r="4" spans="1:74" ht="14.25" customHeight="1" thickTop="1" thickBot="1" x14ac:dyDescent="0.25">
      <c r="B4" s="723">
        <f>'ACC9 (Page 7-8) Bal Sh~Bilan'!Q80</f>
        <v>0</v>
      </c>
      <c r="C4" s="862">
        <f>'Set up ~ Config'!L10</f>
        <v>1</v>
      </c>
      <c r="D4" s="23"/>
      <c r="E4" s="617"/>
      <c r="F4" s="1472"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24"/>
      <c r="I4" s="24"/>
      <c r="J4" s="24"/>
      <c r="K4" s="24"/>
      <c r="L4" s="25"/>
      <c r="M4" s="25"/>
      <c r="N4" s="25"/>
      <c r="O4" s="25"/>
      <c r="P4" s="25"/>
      <c r="Q4" s="1475">
        <v>4000</v>
      </c>
      <c r="R4" s="1475"/>
      <c r="S4" s="1475"/>
      <c r="T4" s="1475"/>
      <c r="U4" s="1475"/>
      <c r="V4" s="1475"/>
      <c r="W4" s="1475"/>
      <c r="X4" s="1475"/>
      <c r="Y4" s="1475"/>
      <c r="Z4" s="1475"/>
      <c r="AA4" s="1475"/>
      <c r="AB4" s="1475"/>
      <c r="AC4" s="1475"/>
      <c r="AD4" s="1475">
        <v>4200</v>
      </c>
      <c r="AE4" s="1475"/>
      <c r="AF4" s="1475"/>
      <c r="AG4" s="1475"/>
      <c r="AH4" s="1475"/>
      <c r="AI4" s="1475"/>
      <c r="AJ4" s="1475"/>
      <c r="AK4" s="1475"/>
      <c r="AL4" s="1475"/>
      <c r="AM4" s="1475">
        <v>4400</v>
      </c>
      <c r="AN4" s="1475"/>
      <c r="AO4" s="1475"/>
      <c r="AP4" s="1475"/>
      <c r="AQ4" s="1475"/>
      <c r="AR4" s="1475"/>
      <c r="AS4" s="1475"/>
      <c r="AT4" s="1475"/>
      <c r="AU4" s="1475"/>
      <c r="AV4" s="1475">
        <v>4600</v>
      </c>
      <c r="AW4" s="1475"/>
      <c r="AX4" s="1475"/>
      <c r="AY4" s="1475"/>
      <c r="AZ4" s="1475"/>
      <c r="BA4" s="1475"/>
      <c r="BB4" s="1475"/>
      <c r="BC4" s="1475"/>
      <c r="BD4" s="1475"/>
      <c r="BE4" s="1475">
        <v>4800</v>
      </c>
      <c r="BF4" s="1475"/>
      <c r="BG4" s="1475"/>
      <c r="BH4" s="1475"/>
      <c r="BI4" s="1475"/>
      <c r="BJ4" s="1475"/>
      <c r="BK4" s="1475"/>
      <c r="BL4" s="1475"/>
      <c r="BM4" s="1475"/>
      <c r="BN4" s="1475"/>
      <c r="BO4" s="1"/>
      <c r="BP4" s="1"/>
      <c r="BS4" s="12"/>
      <c r="BV4" s="12"/>
    </row>
    <row r="5" spans="1:74" ht="36.75" customHeight="1" thickTop="1" thickBot="1" x14ac:dyDescent="0.25">
      <c r="C5" s="724"/>
      <c r="D5" s="724"/>
      <c r="E5" s="725"/>
      <c r="F5" s="1472"/>
      <c r="G5" s="1474"/>
      <c r="H5" s="24"/>
      <c r="I5" s="24"/>
      <c r="J5" s="24"/>
      <c r="K5" s="1480" t="str">
        <f>IF(C4=2,"Si des taxes sont remboursées par le gouv't, inscrivez-les ici.","If taxes are reimbursed by Gov't, enter them here.")</f>
        <v>If taxes are reimbursed by Gov't, enter them here.</v>
      </c>
      <c r="L5" s="1480"/>
      <c r="M5" s="1480"/>
      <c r="N5" s="25"/>
      <c r="O5" s="25"/>
      <c r="P5" s="25"/>
      <c r="Q5" s="1476" t="str">
        <f>IF(C4=2,"Dons, Subventions, Octrois et autres","Donations, Grants &amp; Other")</f>
        <v>Donations, Grants &amp; Other</v>
      </c>
      <c r="R5" s="1476"/>
      <c r="S5" s="1476"/>
      <c r="T5" s="1476"/>
      <c r="U5" s="1476"/>
      <c r="V5" s="1476"/>
      <c r="W5" s="1476"/>
      <c r="X5" s="1476"/>
      <c r="Y5" s="1476"/>
      <c r="Z5" s="1476"/>
      <c r="AA5" s="1476"/>
      <c r="AB5" s="1476"/>
      <c r="AC5" s="1476"/>
      <c r="AD5" s="1476" t="str">
        <f>IF(C4=2,"Levée de fonds - Jeux d'argent &amp; loteries","Gaming &amp; Lotteries Fundraising")</f>
        <v>Gaming &amp; Lotteries Fundraising</v>
      </c>
      <c r="AE5" s="1476"/>
      <c r="AF5" s="1476"/>
      <c r="AG5" s="1476"/>
      <c r="AH5" s="1476"/>
      <c r="AI5" s="1476"/>
      <c r="AJ5" s="1476"/>
      <c r="AK5" s="1476"/>
      <c r="AL5" s="1476"/>
      <c r="AM5" s="1476" t="str">
        <f>IF(C4=2,"Autres levées de fonds","Other Fundraising")</f>
        <v>Other Fundraising</v>
      </c>
      <c r="AN5" s="1476"/>
      <c r="AO5" s="1476"/>
      <c r="AP5" s="1476"/>
      <c r="AQ5" s="1476"/>
      <c r="AR5" s="1476"/>
      <c r="AS5" s="1476"/>
      <c r="AT5" s="1476"/>
      <c r="AU5" s="1476"/>
      <c r="AV5" s="1476" t="str">
        <f>IF(C4=2,"Recettes diverses (Autres que gouv't)","Misc Revenues (Other than Gov't)")</f>
        <v>Misc Revenues (Other than Gov't)</v>
      </c>
      <c r="AW5" s="1476"/>
      <c r="AX5" s="1476"/>
      <c r="AY5" s="1476"/>
      <c r="AZ5" s="1476"/>
      <c r="BA5" s="1476"/>
      <c r="BB5" s="1476"/>
      <c r="BC5" s="1476"/>
      <c r="BD5" s="1476"/>
      <c r="BE5" s="1476" t="str">
        <f>IF(C4=2,"Subventions et allocations (Gouv't)","Funding &amp; Recoveries (Gov't)")</f>
        <v>Funding &amp; Recoveries (Gov't)</v>
      </c>
      <c r="BF5" s="1476"/>
      <c r="BG5" s="1476"/>
      <c r="BH5" s="1476"/>
      <c r="BI5" s="1476"/>
      <c r="BJ5" s="1476"/>
      <c r="BK5" s="1476"/>
      <c r="BL5" s="1476"/>
      <c r="BM5" s="1476"/>
      <c r="BN5" s="1476"/>
      <c r="BP5" s="1"/>
      <c r="BS5" s="12"/>
      <c r="BV5" s="12"/>
    </row>
    <row r="6" spans="1:74" ht="18.75" customHeight="1" thickTop="1" thickBot="1" x14ac:dyDescent="0.25">
      <c r="B6" s="726" t="s">
        <v>40</v>
      </c>
      <c r="C6" s="724"/>
      <c r="D6" s="724"/>
      <c r="E6" s="725"/>
      <c r="F6" s="1472"/>
      <c r="G6" s="1474"/>
      <c r="H6" s="24"/>
      <c r="I6" s="24"/>
      <c r="J6" s="24"/>
      <c r="K6" s="1480"/>
      <c r="L6" s="1480"/>
      <c r="M6" s="1480"/>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25">
      <c r="C7" s="724"/>
      <c r="D7" s="724"/>
      <c r="E7" s="728"/>
      <c r="F7" s="1472"/>
      <c r="G7" s="1474"/>
      <c r="H7" s="24"/>
      <c r="I7" s="24"/>
      <c r="J7" s="24"/>
      <c r="K7" s="1481"/>
      <c r="L7" s="1481"/>
      <c r="M7" s="1481"/>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25">
      <c r="B8" s="964" t="str">
        <f>IF(C4=2,"Réconcilié","Reconciled")</f>
        <v>Reconciled</v>
      </c>
      <c r="C8" s="965" t="str">
        <f>IF(C4=2,"Type Transaction","Transactions Type")</f>
        <v>Transactions Type</v>
      </c>
      <c r="D8" s="966" t="str">
        <f>IF(C4=2,"# de réf","Ref #")</f>
        <v>Ref #</v>
      </c>
      <c r="E8" s="967" t="str">
        <f>IF(C4=2,"Date
(aaaa-mm-jj)","Date
(yyyy-mm-dd)")</f>
        <v>Date
(yyyy-mm-dd)</v>
      </c>
      <c r="F8" s="968" t="str">
        <f>IF(C4=2,"Détails","Details")</f>
        <v>Details</v>
      </c>
      <c r="G8" s="969" t="str">
        <f>IF(C4=2,"Montant des
encaissements","Amount of
cash-in")</f>
        <v>Amount of
cash-in</v>
      </c>
      <c r="H8" s="1268" t="str">
        <f>IF(C4=2,"Compte","Account")</f>
        <v>Account</v>
      </c>
      <c r="I8" s="970" t="str">
        <f>IF(C4=2,"No. Compte","Account #")</f>
        <v>Account #</v>
      </c>
      <c r="J8" s="971" t="str">
        <f>IF(C4=2,"PREUVE DE RÉPARTITION dans les catégories - Doit être 0$","PROOF OF CATEGORY ALLOCATION - must be $0")</f>
        <v>PROOF OF CATEGORY ALLOCATION - must be $0</v>
      </c>
      <c r="K8" s="972" t="str">
        <f>IF(C4=2,"TVH Remboursées par Gouv't","HST Reimbursed by Gov't")</f>
        <v>HST Reimbursed by Gov't</v>
      </c>
      <c r="L8" s="973" t="str">
        <f>IF(C4=2,"TPS Remboursées par Gouv't","GST Reimbursed by Gov't")</f>
        <v>GST Reimbursed by Gov't</v>
      </c>
      <c r="M8" s="973" t="str">
        <f>IF(C4=2,"TVP/TVQ Remboursées par Gouv't","PST/QST Reimbursed by Gov't")</f>
        <v>PST/QST Reimbursed by Gov't</v>
      </c>
      <c r="N8" s="974"/>
      <c r="O8" s="975" t="str">
        <f>IF(C4=2,"Remboursement par trimestre","Quarters Rebate")</f>
        <v>Quarters Rebate</v>
      </c>
      <c r="P8" s="973" t="str">
        <f>IF(C4=2,"Montant des reçus d'impôt émis (non inclus dans le compte 4070)","Issued Tax Receipt Amount (not included in account 4070)")</f>
        <v>Issued Tax Receipt Amount (not included in account 4070)</v>
      </c>
      <c r="Q8" s="976" t="str">
        <f>IF(C4=2,"Répondant(s) officiel(s)","From Official Sponsor(s)")</f>
        <v>From Official Sponsor(s)</v>
      </c>
      <c r="R8" s="977" t="str">
        <f>IF(C4=2,"Organismes de Vétérans, autres que Répondants, Auxiliaires","From Non-Sponsor Veterans Organizations, Auxiliaries")</f>
        <v>From Non-Sponsor Veterans Organizations, Auxiliaries</v>
      </c>
      <c r="S8" s="978" t="str">
        <f>IF(C4=2,"Autres Clubs sociaux/de services (Bienfaisance)","From Other Service Clubs (Charities)")</f>
        <v>From Other Service Clubs (Charities)</v>
      </c>
      <c r="T8" s="859" t="s">
        <v>540</v>
      </c>
      <c r="U8" s="859" t="s">
        <v>540</v>
      </c>
      <c r="V8" s="859" t="s">
        <v>540</v>
      </c>
      <c r="W8" s="859" t="s">
        <v>540</v>
      </c>
      <c r="X8" s="977" t="str">
        <f>IF(C4=2,"Subventions spécifiques (autre que du MDN)","Specific Purpose Non-DND Grants")</f>
        <v>Specific Purpose Non-DND Grants</v>
      </c>
      <c r="Y8" s="977" t="str">
        <f>IF(C4=2,"Octrois, Legs, et autres","Bequests and Such")</f>
        <v>Bequests and Such</v>
      </c>
      <c r="Z8" s="979" t="str">
        <f>IF(C4=2,"Autres Dons - Sans reçus officiels d'impôt","Non-Tax Receipt - Other Donations")</f>
        <v>Non-Tax Receipt - Other Donations</v>
      </c>
      <c r="AA8" s="977" t="str">
        <f>IF(C4=2,"Autres Dons - Avec reçus officiels d'impôt","Tax Receipt - Other Donations")</f>
        <v>Tax Receipt - Other Donations</v>
      </c>
      <c r="AB8" s="851" t="s">
        <v>540</v>
      </c>
      <c r="AC8" s="851" t="s">
        <v>540</v>
      </c>
      <c r="AD8" s="851" t="s">
        <v>564</v>
      </c>
      <c r="AE8" s="851" t="s">
        <v>565</v>
      </c>
      <c r="AF8" s="851" t="s">
        <v>540</v>
      </c>
      <c r="AG8" s="851" t="s">
        <v>540</v>
      </c>
      <c r="AH8" s="851" t="s">
        <v>540</v>
      </c>
      <c r="AI8" s="851" t="s">
        <v>540</v>
      </c>
      <c r="AJ8" s="851" t="s">
        <v>540</v>
      </c>
      <c r="AK8" s="851" t="s">
        <v>540</v>
      </c>
      <c r="AL8" s="851" t="s">
        <v>540</v>
      </c>
      <c r="AM8" s="852" t="s">
        <v>571</v>
      </c>
      <c r="AN8" s="851" t="s">
        <v>572</v>
      </c>
      <c r="AO8" s="851" t="s">
        <v>576</v>
      </c>
      <c r="AP8" s="851" t="s">
        <v>577</v>
      </c>
      <c r="AQ8" s="851" t="s">
        <v>540</v>
      </c>
      <c r="AR8" s="851" t="s">
        <v>540</v>
      </c>
      <c r="AS8" s="851" t="s">
        <v>540</v>
      </c>
      <c r="AT8" s="851" t="s">
        <v>540</v>
      </c>
      <c r="AU8" s="853" t="s">
        <v>540</v>
      </c>
      <c r="AV8" s="980" t="str">
        <f>IF(C4=2,"Contributions des cadets pour activités","Money Collected for Activities")</f>
        <v>Money Collected for Activities</v>
      </c>
      <c r="AW8" s="977" t="str">
        <f>IF(C4=2,"Ristournes","Refunds")</f>
        <v>Refunds</v>
      </c>
      <c r="AX8" s="977" t="str">
        <f>IF(C4=2,"Cantines - Ventes","Canteen Proceeds")</f>
        <v>Canteen Proceeds</v>
      </c>
      <c r="AY8" s="977" t="str">
        <f>IF(C4=2,"Intérêts/Revenus bancaires/Investissements","Bank &amp; Investments Interest/Income")</f>
        <v>Bank &amp; Investments Interest/Income</v>
      </c>
      <c r="AZ8" s="977" t="str">
        <f>IF(C4=2,"Revenus divers","Misc Revenue")</f>
        <v>Misc Revenue</v>
      </c>
      <c r="BA8" s="851" t="s">
        <v>567</v>
      </c>
      <c r="BB8" s="851" t="s">
        <v>566</v>
      </c>
      <c r="BC8" s="851" t="s">
        <v>579</v>
      </c>
      <c r="BD8" s="851" t="s">
        <v>540</v>
      </c>
      <c r="BE8" s="980" t="str">
        <f>IF(C4=2,"MDN - Allocations pour soutien local (ASL)","DND Local Support Allocation (LSA)")</f>
        <v>DND Local Support Allocation (LSA)</v>
      </c>
      <c r="BF8" s="977" t="str">
        <f>IF(C4=2,"MDN - Programme obligatoire et complémentaire (POC)","DND Allocation - Mandatory and Complementary Pgm (MCP)")</f>
        <v>DND Allocation - Mandatory and Complementary Pgm (MCP)</v>
      </c>
      <c r="BG8" s="977" t="str">
        <f>IF(C4=2,"Portion fédérale - Remboursement de taxes","Federal Portion - Tax Rebate")</f>
        <v>Federal Portion - Tax Rebate</v>
      </c>
      <c r="BH8" s="853" t="s">
        <v>540</v>
      </c>
      <c r="BI8" s="976" t="str">
        <f>IF(C4=2,"subventions gouvernementales - Provincial","Governmental Grants - Provincial")</f>
        <v>Governmental Grants - Provincial</v>
      </c>
      <c r="BJ8" s="977" t="str">
        <f>IF(C4=2,"Portion provinciale - Remboursement de taxes","Provincial Portion - Tax Rebate")</f>
        <v>Provincial Portion - Tax Rebate</v>
      </c>
      <c r="BK8" s="853" t="s">
        <v>540</v>
      </c>
      <c r="BL8" s="980" t="str">
        <f>IF(C4=2,"subventions gouvernementales - Régional/
Municipal","Governmental Grants - Regional/
Municipal")</f>
        <v>Governmental Grants - Regional/
Municipal</v>
      </c>
      <c r="BM8" s="851" t="s">
        <v>540</v>
      </c>
      <c r="BN8" s="851" t="s">
        <v>540</v>
      </c>
      <c r="BO8" s="981" t="str">
        <f>IF(C4=2,"Transferts de compte à compte ou ajustements","Transfers between accounts or Adjustments")</f>
        <v>Transfers between accounts or Adjustments</v>
      </c>
      <c r="BP8" s="673"/>
      <c r="BS8" s="12"/>
      <c r="BV8" s="12"/>
    </row>
    <row r="9" spans="1:74" ht="13.5" hidden="1" thickTop="1" x14ac:dyDescent="0.2">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5.75" hidden="1" x14ac:dyDescent="0.2">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5.75" hidden="1" x14ac:dyDescent="0.2">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5.75" hidden="1" x14ac:dyDescent="0.2">
      <c r="A12" s="17"/>
      <c r="B12" s="18"/>
      <c r="C12" s="19"/>
      <c r="D12" s="19"/>
      <c r="E12" s="1485"/>
      <c r="F12" s="1485"/>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5.75" hidden="1" x14ac:dyDescent="0.2">
      <c r="E13" s="1485"/>
      <c r="F13" s="1485"/>
      <c r="G13" s="603"/>
      <c r="H13" s="739"/>
      <c r="J13" s="12"/>
      <c r="K13" s="738"/>
      <c r="BE13" s="25"/>
      <c r="BG13" s="718"/>
      <c r="BH13" s="740"/>
      <c r="BK13" s="741"/>
      <c r="BL13" s="742"/>
      <c r="BO13" s="1"/>
      <c r="BV13" s="12"/>
    </row>
    <row r="14" spans="1:74" ht="15.75" hidden="1" x14ac:dyDescent="0.2">
      <c r="E14" s="1485"/>
      <c r="F14" s="1485"/>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6.5" hidden="1" thickBot="1" x14ac:dyDescent="0.25">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25">
      <c r="A16" s="17">
        <f>$A8+1</f>
        <v>1</v>
      </c>
      <c r="B16" s="1040"/>
      <c r="C16" s="1041"/>
      <c r="D16" s="877"/>
      <c r="E16" s="952"/>
      <c r="F16" s="878"/>
      <c r="G16" s="879"/>
      <c r="H16" s="1047"/>
      <c r="I16" s="684" t="str">
        <f t="shared" ref="I16:I79" si="0">LEFT(H16,4)</f>
        <v/>
      </c>
      <c r="J16" s="752">
        <f t="shared" ref="J16:J79" si="1">G16-BP16</f>
        <v>0</v>
      </c>
      <c r="K16" s="1249"/>
      <c r="L16" s="1250"/>
      <c r="M16" s="1250"/>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25">
      <c r="A17" s="17">
        <f t="shared" ref="A17:A80" si="4">$A16+1</f>
        <v>2</v>
      </c>
      <c r="B17" s="1042"/>
      <c r="C17" s="1043"/>
      <c r="D17" s="880"/>
      <c r="E17" s="953"/>
      <c r="F17" s="881"/>
      <c r="G17" s="882"/>
      <c r="H17" s="1048"/>
      <c r="I17" s="684" t="str">
        <f t="shared" si="0"/>
        <v/>
      </c>
      <c r="J17" s="754">
        <f t="shared" si="1"/>
        <v>0</v>
      </c>
      <c r="K17" s="1251"/>
      <c r="L17" s="1252"/>
      <c r="M17" s="1252"/>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25">
      <c r="A18" s="17">
        <f t="shared" si="4"/>
        <v>3</v>
      </c>
      <c r="B18" s="1042"/>
      <c r="C18" s="1043"/>
      <c r="D18" s="880"/>
      <c r="E18" s="953"/>
      <c r="F18" s="881"/>
      <c r="G18" s="882"/>
      <c r="H18" s="1048"/>
      <c r="I18" s="684" t="str">
        <f t="shared" si="0"/>
        <v/>
      </c>
      <c r="J18" s="754">
        <f t="shared" si="1"/>
        <v>0</v>
      </c>
      <c r="K18" s="1251"/>
      <c r="L18" s="1252"/>
      <c r="M18" s="1252"/>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25">
      <c r="A19" s="17">
        <f t="shared" si="4"/>
        <v>4</v>
      </c>
      <c r="B19" s="1042"/>
      <c r="C19" s="1043"/>
      <c r="D19" s="880"/>
      <c r="E19" s="953"/>
      <c r="F19" s="883"/>
      <c r="G19" s="882"/>
      <c r="H19" s="1048"/>
      <c r="I19" s="684" t="str">
        <f t="shared" si="0"/>
        <v/>
      </c>
      <c r="J19" s="754">
        <f t="shared" si="1"/>
        <v>0</v>
      </c>
      <c r="K19" s="1251"/>
      <c r="L19" s="1252"/>
      <c r="M19" s="1252"/>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25">
      <c r="A20" s="17">
        <f t="shared" si="4"/>
        <v>5</v>
      </c>
      <c r="B20" s="1042"/>
      <c r="C20" s="1043"/>
      <c r="D20" s="880"/>
      <c r="E20" s="953"/>
      <c r="F20" s="883"/>
      <c r="G20" s="882"/>
      <c r="H20" s="1048"/>
      <c r="I20" s="684" t="str">
        <f t="shared" si="0"/>
        <v/>
      </c>
      <c r="J20" s="754">
        <f t="shared" si="1"/>
        <v>0</v>
      </c>
      <c r="K20" s="1251"/>
      <c r="L20" s="1252"/>
      <c r="M20" s="1252"/>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25">
      <c r="A21" s="17">
        <f t="shared" si="4"/>
        <v>6</v>
      </c>
      <c r="B21" s="1042"/>
      <c r="C21" s="1043"/>
      <c r="D21" s="880"/>
      <c r="E21" s="953"/>
      <c r="F21" s="883"/>
      <c r="G21" s="882"/>
      <c r="H21" s="1048"/>
      <c r="I21" s="684" t="str">
        <f t="shared" si="0"/>
        <v/>
      </c>
      <c r="J21" s="754">
        <f t="shared" si="1"/>
        <v>0</v>
      </c>
      <c r="K21" s="1251"/>
      <c r="L21" s="1252"/>
      <c r="M21" s="1252"/>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25">
      <c r="A22" s="17">
        <f t="shared" si="4"/>
        <v>7</v>
      </c>
      <c r="B22" s="1042"/>
      <c r="C22" s="1043"/>
      <c r="D22" s="880"/>
      <c r="E22" s="953"/>
      <c r="F22" s="881"/>
      <c r="G22" s="882"/>
      <c r="H22" s="1048"/>
      <c r="I22" s="684" t="str">
        <f t="shared" si="0"/>
        <v/>
      </c>
      <c r="J22" s="754">
        <f t="shared" si="1"/>
        <v>0</v>
      </c>
      <c r="K22" s="1251"/>
      <c r="L22" s="1252"/>
      <c r="M22" s="1252"/>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2">
      <c r="A23" s="17">
        <f t="shared" si="4"/>
        <v>8</v>
      </c>
      <c r="B23" s="1042"/>
      <c r="C23" s="1043"/>
      <c r="D23" s="880"/>
      <c r="E23" s="953"/>
      <c r="F23" s="883"/>
      <c r="G23" s="882"/>
      <c r="H23" s="1048"/>
      <c r="I23" s="684" t="str">
        <f t="shared" si="0"/>
        <v/>
      </c>
      <c r="J23" s="754">
        <f t="shared" si="1"/>
        <v>0</v>
      </c>
      <c r="K23" s="1251"/>
      <c r="L23" s="1252"/>
      <c r="M23" s="1252"/>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2">
      <c r="A24" s="17">
        <f t="shared" si="4"/>
        <v>9</v>
      </c>
      <c r="B24" s="1042"/>
      <c r="C24" s="1043"/>
      <c r="D24" s="880"/>
      <c r="E24" s="953"/>
      <c r="F24" s="883"/>
      <c r="G24" s="882"/>
      <c r="H24" s="1048"/>
      <c r="I24" s="684" t="str">
        <f t="shared" si="0"/>
        <v/>
      </c>
      <c r="J24" s="754">
        <f t="shared" si="1"/>
        <v>0</v>
      </c>
      <c r="K24" s="1251"/>
      <c r="L24" s="1252"/>
      <c r="M24" s="1252"/>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2">
      <c r="A25" s="17">
        <f t="shared" si="4"/>
        <v>10</v>
      </c>
      <c r="B25" s="1042"/>
      <c r="C25" s="1043"/>
      <c r="D25" s="880"/>
      <c r="E25" s="953"/>
      <c r="F25" s="883"/>
      <c r="G25" s="882"/>
      <c r="H25" s="1048"/>
      <c r="I25" s="684" t="str">
        <f t="shared" si="0"/>
        <v/>
      </c>
      <c r="J25" s="754">
        <f t="shared" si="1"/>
        <v>0</v>
      </c>
      <c r="K25" s="1251"/>
      <c r="L25" s="1252"/>
      <c r="M25" s="1252"/>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2">
      <c r="A26" s="17">
        <f t="shared" si="4"/>
        <v>11</v>
      </c>
      <c r="B26" s="1042"/>
      <c r="C26" s="1043"/>
      <c r="D26" s="880"/>
      <c r="E26" s="953"/>
      <c r="F26" s="883"/>
      <c r="G26" s="882"/>
      <c r="H26" s="1048"/>
      <c r="I26" s="684" t="str">
        <f t="shared" si="0"/>
        <v/>
      </c>
      <c r="J26" s="754">
        <f t="shared" si="1"/>
        <v>0</v>
      </c>
      <c r="K26" s="1251"/>
      <c r="L26" s="1253"/>
      <c r="M26" s="1252"/>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25">
      <c r="A27" s="17">
        <f t="shared" si="4"/>
        <v>12</v>
      </c>
      <c r="B27" s="1042"/>
      <c r="C27" s="1043"/>
      <c r="D27" s="880"/>
      <c r="E27" s="953"/>
      <c r="F27" s="883"/>
      <c r="G27" s="882"/>
      <c r="H27" s="1048"/>
      <c r="I27" s="684" t="str">
        <f t="shared" si="0"/>
        <v/>
      </c>
      <c r="J27" s="754">
        <f t="shared" si="1"/>
        <v>0</v>
      </c>
      <c r="K27" s="1251"/>
      <c r="L27" s="1253"/>
      <c r="M27" s="1252"/>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25">
      <c r="A28" s="17">
        <f t="shared" si="4"/>
        <v>13</v>
      </c>
      <c r="B28" s="1042"/>
      <c r="C28" s="1043"/>
      <c r="D28" s="880"/>
      <c r="E28" s="953"/>
      <c r="F28" s="883"/>
      <c r="G28" s="882"/>
      <c r="H28" s="1048"/>
      <c r="I28" s="684" t="str">
        <f t="shared" si="0"/>
        <v/>
      </c>
      <c r="J28" s="754">
        <f t="shared" si="1"/>
        <v>0</v>
      </c>
      <c r="K28" s="1251"/>
      <c r="L28" s="1252"/>
      <c r="M28" s="1252"/>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25">
      <c r="A29" s="17">
        <f t="shared" si="4"/>
        <v>14</v>
      </c>
      <c r="B29" s="1042"/>
      <c r="C29" s="1043"/>
      <c r="D29" s="880"/>
      <c r="E29" s="953"/>
      <c r="F29" s="883"/>
      <c r="G29" s="882"/>
      <c r="H29" s="1049"/>
      <c r="I29" s="684" t="str">
        <f t="shared" si="0"/>
        <v/>
      </c>
      <c r="J29" s="754">
        <f t="shared" si="1"/>
        <v>0</v>
      </c>
      <c r="K29" s="1251"/>
      <c r="L29" s="1252"/>
      <c r="M29" s="1252"/>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25">
      <c r="A30" s="17">
        <f t="shared" si="4"/>
        <v>15</v>
      </c>
      <c r="B30" s="1042"/>
      <c r="C30" s="1043"/>
      <c r="D30" s="880"/>
      <c r="E30" s="953"/>
      <c r="F30" s="883"/>
      <c r="G30" s="882"/>
      <c r="H30" s="1048"/>
      <c r="I30" s="684" t="str">
        <f t="shared" si="0"/>
        <v/>
      </c>
      <c r="J30" s="754">
        <f t="shared" si="1"/>
        <v>0</v>
      </c>
      <c r="K30" s="1251"/>
      <c r="L30" s="1252"/>
      <c r="M30" s="1252"/>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2">
      <c r="A31" s="17">
        <f t="shared" si="4"/>
        <v>16</v>
      </c>
      <c r="B31" s="1042"/>
      <c r="C31" s="1043"/>
      <c r="D31" s="880"/>
      <c r="E31" s="953"/>
      <c r="F31" s="884"/>
      <c r="G31" s="882"/>
      <c r="H31" s="1048"/>
      <c r="I31" s="684" t="str">
        <f t="shared" si="0"/>
        <v/>
      </c>
      <c r="J31" s="754">
        <f t="shared" si="1"/>
        <v>0</v>
      </c>
      <c r="K31" s="1251"/>
      <c r="L31" s="1252"/>
      <c r="M31" s="1252"/>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2">
      <c r="A32" s="17">
        <f t="shared" si="4"/>
        <v>17</v>
      </c>
      <c r="B32" s="1042"/>
      <c r="C32" s="1043"/>
      <c r="D32" s="880"/>
      <c r="E32" s="953"/>
      <c r="F32" s="883"/>
      <c r="G32" s="882"/>
      <c r="H32" s="1048"/>
      <c r="I32" s="684" t="str">
        <f t="shared" si="0"/>
        <v/>
      </c>
      <c r="J32" s="754">
        <f t="shared" si="1"/>
        <v>0</v>
      </c>
      <c r="K32" s="1251"/>
      <c r="L32" s="1252"/>
      <c r="M32" s="1252"/>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2">
      <c r="A33" s="17">
        <f t="shared" si="4"/>
        <v>18</v>
      </c>
      <c r="B33" s="1042"/>
      <c r="C33" s="1043"/>
      <c r="D33" s="880"/>
      <c r="E33" s="953"/>
      <c r="F33" s="883"/>
      <c r="G33" s="882"/>
      <c r="H33" s="1048"/>
      <c r="I33" s="684" t="str">
        <f t="shared" si="0"/>
        <v/>
      </c>
      <c r="J33" s="754">
        <f t="shared" si="1"/>
        <v>0</v>
      </c>
      <c r="K33" s="1251"/>
      <c r="L33" s="1252"/>
      <c r="M33" s="1252"/>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2">
      <c r="A34" s="17">
        <f t="shared" si="4"/>
        <v>19</v>
      </c>
      <c r="B34" s="1042"/>
      <c r="C34" s="1043"/>
      <c r="D34" s="880"/>
      <c r="E34" s="953"/>
      <c r="F34" s="883"/>
      <c r="G34" s="882"/>
      <c r="H34" s="1048"/>
      <c r="I34" s="684" t="str">
        <f t="shared" si="0"/>
        <v/>
      </c>
      <c r="J34" s="754">
        <f t="shared" si="1"/>
        <v>0</v>
      </c>
      <c r="K34" s="1251"/>
      <c r="L34" s="1252"/>
      <c r="M34" s="1252"/>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2">
      <c r="A35" s="17">
        <f t="shared" si="4"/>
        <v>20</v>
      </c>
      <c r="B35" s="1042"/>
      <c r="C35" s="1043"/>
      <c r="D35" s="880"/>
      <c r="E35" s="953"/>
      <c r="F35" s="883"/>
      <c r="G35" s="882"/>
      <c r="H35" s="1048"/>
      <c r="I35" s="684" t="str">
        <f t="shared" si="0"/>
        <v/>
      </c>
      <c r="J35" s="754">
        <f t="shared" si="1"/>
        <v>0</v>
      </c>
      <c r="K35" s="1251"/>
      <c r="L35" s="1252"/>
      <c r="M35" s="1252"/>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2">
      <c r="A36" s="17">
        <f t="shared" si="4"/>
        <v>21</v>
      </c>
      <c r="B36" s="1042"/>
      <c r="C36" s="1043"/>
      <c r="D36" s="880"/>
      <c r="E36" s="953"/>
      <c r="F36" s="883"/>
      <c r="G36" s="882"/>
      <c r="H36" s="1048"/>
      <c r="I36" s="684" t="str">
        <f t="shared" si="0"/>
        <v/>
      </c>
      <c r="J36" s="754">
        <f t="shared" si="1"/>
        <v>0</v>
      </c>
      <c r="K36" s="1251"/>
      <c r="L36" s="1252"/>
      <c r="M36" s="1252"/>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2">
      <c r="A37" s="17">
        <f t="shared" si="4"/>
        <v>22</v>
      </c>
      <c r="B37" s="1042"/>
      <c r="C37" s="1043"/>
      <c r="D37" s="880"/>
      <c r="E37" s="953"/>
      <c r="F37" s="883"/>
      <c r="G37" s="882"/>
      <c r="H37" s="1048"/>
      <c r="I37" s="684" t="str">
        <f t="shared" si="0"/>
        <v/>
      </c>
      <c r="J37" s="754">
        <f t="shared" si="1"/>
        <v>0</v>
      </c>
      <c r="K37" s="1251"/>
      <c r="L37" s="1252"/>
      <c r="M37" s="1252"/>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2">
      <c r="A38" s="17">
        <f t="shared" si="4"/>
        <v>23</v>
      </c>
      <c r="B38" s="1042"/>
      <c r="C38" s="1043"/>
      <c r="D38" s="880"/>
      <c r="E38" s="953"/>
      <c r="F38" s="883"/>
      <c r="G38" s="882"/>
      <c r="H38" s="1048"/>
      <c r="I38" s="684" t="str">
        <f t="shared" si="0"/>
        <v/>
      </c>
      <c r="J38" s="754">
        <f t="shared" si="1"/>
        <v>0</v>
      </c>
      <c r="K38" s="1251"/>
      <c r="L38" s="1252"/>
      <c r="M38" s="1252"/>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2">
      <c r="A39" s="17">
        <f t="shared" si="4"/>
        <v>24</v>
      </c>
      <c r="B39" s="1042"/>
      <c r="C39" s="1043"/>
      <c r="D39" s="880"/>
      <c r="E39" s="953"/>
      <c r="F39" s="883"/>
      <c r="G39" s="882"/>
      <c r="H39" s="1048"/>
      <c r="I39" s="684" t="str">
        <f t="shared" si="0"/>
        <v/>
      </c>
      <c r="J39" s="754">
        <f t="shared" si="1"/>
        <v>0</v>
      </c>
      <c r="K39" s="1251"/>
      <c r="L39" s="1252"/>
      <c r="M39" s="1252"/>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2">
      <c r="A40" s="17">
        <f t="shared" si="4"/>
        <v>25</v>
      </c>
      <c r="B40" s="1042"/>
      <c r="C40" s="1043"/>
      <c r="D40" s="880"/>
      <c r="E40" s="953"/>
      <c r="F40" s="883"/>
      <c r="G40" s="882"/>
      <c r="H40" s="1048"/>
      <c r="I40" s="684" t="str">
        <f t="shared" si="0"/>
        <v/>
      </c>
      <c r="J40" s="754">
        <f t="shared" si="1"/>
        <v>0</v>
      </c>
      <c r="K40" s="1251"/>
      <c r="L40" s="1252"/>
      <c r="M40" s="1252"/>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2">
      <c r="A41" s="17">
        <f t="shared" si="4"/>
        <v>26</v>
      </c>
      <c r="B41" s="1042"/>
      <c r="C41" s="1043"/>
      <c r="D41" s="880"/>
      <c r="E41" s="953"/>
      <c r="F41" s="883"/>
      <c r="G41" s="882"/>
      <c r="H41" s="1048"/>
      <c r="I41" s="684" t="str">
        <f t="shared" si="0"/>
        <v/>
      </c>
      <c r="J41" s="754">
        <f t="shared" si="1"/>
        <v>0</v>
      </c>
      <c r="K41" s="1251"/>
      <c r="L41" s="1252"/>
      <c r="M41" s="1252"/>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2">
      <c r="A42" s="17">
        <f t="shared" si="4"/>
        <v>27</v>
      </c>
      <c r="B42" s="1042"/>
      <c r="C42" s="1043"/>
      <c r="D42" s="880"/>
      <c r="E42" s="953"/>
      <c r="F42" s="883"/>
      <c r="G42" s="882"/>
      <c r="H42" s="1048"/>
      <c r="I42" s="684" t="str">
        <f t="shared" si="0"/>
        <v/>
      </c>
      <c r="J42" s="754">
        <f t="shared" si="1"/>
        <v>0</v>
      </c>
      <c r="K42" s="1251"/>
      <c r="L42" s="1252"/>
      <c r="M42" s="1252"/>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2">
      <c r="A43" s="17">
        <f t="shared" si="4"/>
        <v>28</v>
      </c>
      <c r="B43" s="1042"/>
      <c r="C43" s="1043"/>
      <c r="D43" s="880"/>
      <c r="E43" s="953"/>
      <c r="F43" s="883"/>
      <c r="G43" s="882"/>
      <c r="H43" s="1048"/>
      <c r="I43" s="684" t="str">
        <f t="shared" si="0"/>
        <v/>
      </c>
      <c r="J43" s="754">
        <f t="shared" si="1"/>
        <v>0</v>
      </c>
      <c r="K43" s="1251"/>
      <c r="L43" s="1252"/>
      <c r="M43" s="1252"/>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2">
      <c r="A44" s="17">
        <f t="shared" si="4"/>
        <v>29</v>
      </c>
      <c r="B44" s="1042"/>
      <c r="C44" s="1043"/>
      <c r="D44" s="880"/>
      <c r="E44" s="953"/>
      <c r="F44" s="883"/>
      <c r="G44" s="882"/>
      <c r="H44" s="1048"/>
      <c r="I44" s="684" t="str">
        <f t="shared" si="0"/>
        <v/>
      </c>
      <c r="J44" s="754">
        <f t="shared" si="1"/>
        <v>0</v>
      </c>
      <c r="K44" s="1251"/>
      <c r="L44" s="1252"/>
      <c r="M44" s="1252"/>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2">
      <c r="A45" s="17">
        <f t="shared" si="4"/>
        <v>30</v>
      </c>
      <c r="B45" s="1042"/>
      <c r="C45" s="1043"/>
      <c r="D45" s="880"/>
      <c r="E45" s="953"/>
      <c r="F45" s="883"/>
      <c r="G45" s="882"/>
      <c r="H45" s="1048"/>
      <c r="I45" s="684" t="str">
        <f t="shared" si="0"/>
        <v/>
      </c>
      <c r="J45" s="754">
        <f t="shared" si="1"/>
        <v>0</v>
      </c>
      <c r="K45" s="1251"/>
      <c r="L45" s="1252"/>
      <c r="M45" s="1252"/>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2">
      <c r="A46" s="17">
        <f t="shared" si="4"/>
        <v>31</v>
      </c>
      <c r="B46" s="1042"/>
      <c r="C46" s="1043"/>
      <c r="D46" s="880"/>
      <c r="E46" s="953"/>
      <c r="F46" s="883"/>
      <c r="G46" s="882"/>
      <c r="H46" s="1048"/>
      <c r="I46" s="684" t="str">
        <f t="shared" si="0"/>
        <v/>
      </c>
      <c r="J46" s="754">
        <f t="shared" si="1"/>
        <v>0</v>
      </c>
      <c r="K46" s="1254"/>
      <c r="L46" s="1252"/>
      <c r="M46" s="1252"/>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2">
      <c r="A47" s="17">
        <f t="shared" si="4"/>
        <v>32</v>
      </c>
      <c r="B47" s="1042"/>
      <c r="C47" s="1043"/>
      <c r="D47" s="880"/>
      <c r="E47" s="953"/>
      <c r="F47" s="883"/>
      <c r="G47" s="882"/>
      <c r="H47" s="1048"/>
      <c r="I47" s="684" t="str">
        <f t="shared" si="0"/>
        <v/>
      </c>
      <c r="J47" s="754">
        <f t="shared" si="1"/>
        <v>0</v>
      </c>
      <c r="K47" s="1254"/>
      <c r="L47" s="1252"/>
      <c r="M47" s="1252"/>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2">
      <c r="A48" s="17">
        <f t="shared" si="4"/>
        <v>33</v>
      </c>
      <c r="B48" s="1042"/>
      <c r="C48" s="1043"/>
      <c r="D48" s="880"/>
      <c r="E48" s="953"/>
      <c r="F48" s="883"/>
      <c r="G48" s="882"/>
      <c r="H48" s="1048"/>
      <c r="I48" s="684" t="str">
        <f t="shared" si="0"/>
        <v/>
      </c>
      <c r="J48" s="754">
        <f t="shared" si="1"/>
        <v>0</v>
      </c>
      <c r="K48" s="1254"/>
      <c r="L48" s="1252"/>
      <c r="M48" s="1252"/>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2">
      <c r="A49" s="17">
        <f t="shared" si="4"/>
        <v>34</v>
      </c>
      <c r="B49" s="1042"/>
      <c r="C49" s="1043"/>
      <c r="D49" s="880"/>
      <c r="E49" s="953"/>
      <c r="F49" s="883"/>
      <c r="G49" s="882"/>
      <c r="H49" s="1048"/>
      <c r="I49" s="684" t="str">
        <f t="shared" si="0"/>
        <v/>
      </c>
      <c r="J49" s="754">
        <f t="shared" si="1"/>
        <v>0</v>
      </c>
      <c r="K49" s="1254"/>
      <c r="L49" s="1252"/>
      <c r="M49" s="1252"/>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2">
      <c r="A50" s="17">
        <f t="shared" si="4"/>
        <v>35</v>
      </c>
      <c r="B50" s="1042"/>
      <c r="C50" s="1043"/>
      <c r="D50" s="880"/>
      <c r="E50" s="953"/>
      <c r="F50" s="883"/>
      <c r="G50" s="882"/>
      <c r="H50" s="1048"/>
      <c r="I50" s="684" t="str">
        <f t="shared" si="0"/>
        <v/>
      </c>
      <c r="J50" s="754">
        <f t="shared" si="1"/>
        <v>0</v>
      </c>
      <c r="K50" s="1254"/>
      <c r="L50" s="1252"/>
      <c r="M50" s="1252"/>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2">
      <c r="A51" s="17">
        <f t="shared" si="4"/>
        <v>36</v>
      </c>
      <c r="B51" s="1042"/>
      <c r="C51" s="1043"/>
      <c r="D51" s="880"/>
      <c r="E51" s="953"/>
      <c r="F51" s="883"/>
      <c r="G51" s="882"/>
      <c r="H51" s="1048"/>
      <c r="I51" s="684" t="str">
        <f t="shared" si="0"/>
        <v/>
      </c>
      <c r="J51" s="754">
        <f t="shared" si="1"/>
        <v>0</v>
      </c>
      <c r="K51" s="1254"/>
      <c r="L51" s="1252"/>
      <c r="M51" s="1252"/>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2">
      <c r="A52" s="17">
        <f t="shared" si="4"/>
        <v>37</v>
      </c>
      <c r="B52" s="1042"/>
      <c r="C52" s="1043"/>
      <c r="D52" s="880"/>
      <c r="E52" s="953"/>
      <c r="F52" s="883"/>
      <c r="G52" s="882"/>
      <c r="H52" s="1048"/>
      <c r="I52" s="684" t="str">
        <f t="shared" si="0"/>
        <v/>
      </c>
      <c r="J52" s="754">
        <f t="shared" si="1"/>
        <v>0</v>
      </c>
      <c r="K52" s="1254"/>
      <c r="L52" s="1252"/>
      <c r="M52" s="1252"/>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2">
      <c r="A53" s="17">
        <f t="shared" si="4"/>
        <v>38</v>
      </c>
      <c r="B53" s="1042"/>
      <c r="C53" s="1043"/>
      <c r="D53" s="880"/>
      <c r="E53" s="953"/>
      <c r="F53" s="883"/>
      <c r="G53" s="882"/>
      <c r="H53" s="1048"/>
      <c r="I53" s="684" t="str">
        <f t="shared" si="0"/>
        <v/>
      </c>
      <c r="J53" s="754">
        <f t="shared" si="1"/>
        <v>0</v>
      </c>
      <c r="K53" s="1254"/>
      <c r="L53" s="1252"/>
      <c r="M53" s="1252"/>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2">
      <c r="A54" s="17">
        <f t="shared" si="4"/>
        <v>39</v>
      </c>
      <c r="B54" s="1042"/>
      <c r="C54" s="1043"/>
      <c r="D54" s="880"/>
      <c r="E54" s="953"/>
      <c r="F54" s="883"/>
      <c r="G54" s="882"/>
      <c r="H54" s="1048"/>
      <c r="I54" s="684" t="str">
        <f t="shared" si="0"/>
        <v/>
      </c>
      <c r="J54" s="754">
        <f t="shared" si="1"/>
        <v>0</v>
      </c>
      <c r="K54" s="1254"/>
      <c r="L54" s="1252"/>
      <c r="M54" s="1252"/>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2">
      <c r="A55" s="17">
        <f t="shared" si="4"/>
        <v>40</v>
      </c>
      <c r="B55" s="1042"/>
      <c r="C55" s="1043"/>
      <c r="D55" s="880"/>
      <c r="E55" s="953"/>
      <c r="F55" s="883"/>
      <c r="G55" s="882"/>
      <c r="H55" s="1048"/>
      <c r="I55" s="684" t="str">
        <f t="shared" si="0"/>
        <v/>
      </c>
      <c r="J55" s="754">
        <f t="shared" si="1"/>
        <v>0</v>
      </c>
      <c r="K55" s="1254"/>
      <c r="L55" s="1252"/>
      <c r="M55" s="1252"/>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2">
      <c r="A56" s="17">
        <f t="shared" si="4"/>
        <v>41</v>
      </c>
      <c r="B56" s="1042"/>
      <c r="C56" s="1043"/>
      <c r="D56" s="880"/>
      <c r="E56" s="953"/>
      <c r="F56" s="883"/>
      <c r="G56" s="882"/>
      <c r="H56" s="1048"/>
      <c r="I56" s="684" t="str">
        <f t="shared" si="0"/>
        <v/>
      </c>
      <c r="J56" s="754">
        <f t="shared" si="1"/>
        <v>0</v>
      </c>
      <c r="K56" s="1254"/>
      <c r="L56" s="1252"/>
      <c r="M56" s="1252"/>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2">
      <c r="A57" s="17">
        <f t="shared" si="4"/>
        <v>42</v>
      </c>
      <c r="B57" s="1042"/>
      <c r="C57" s="1043"/>
      <c r="D57" s="880"/>
      <c r="E57" s="953"/>
      <c r="F57" s="883"/>
      <c r="G57" s="882"/>
      <c r="H57" s="1048"/>
      <c r="I57" s="684" t="str">
        <f t="shared" si="0"/>
        <v/>
      </c>
      <c r="J57" s="754">
        <f t="shared" si="1"/>
        <v>0</v>
      </c>
      <c r="K57" s="1254"/>
      <c r="L57" s="1252"/>
      <c r="M57" s="1252"/>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2">
      <c r="A58" s="17">
        <f t="shared" si="4"/>
        <v>43</v>
      </c>
      <c r="B58" s="1042"/>
      <c r="C58" s="1043"/>
      <c r="D58" s="880"/>
      <c r="E58" s="953"/>
      <c r="F58" s="883"/>
      <c r="G58" s="882"/>
      <c r="H58" s="1048"/>
      <c r="I58" s="684" t="str">
        <f t="shared" si="0"/>
        <v/>
      </c>
      <c r="J58" s="754">
        <f t="shared" si="1"/>
        <v>0</v>
      </c>
      <c r="K58" s="1254"/>
      <c r="L58" s="1252"/>
      <c r="M58" s="1252"/>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2">
      <c r="A59" s="17">
        <f t="shared" si="4"/>
        <v>44</v>
      </c>
      <c r="B59" s="1042"/>
      <c r="C59" s="1043"/>
      <c r="D59" s="880"/>
      <c r="E59" s="953"/>
      <c r="F59" s="884"/>
      <c r="G59" s="882"/>
      <c r="H59" s="1048"/>
      <c r="I59" s="684" t="str">
        <f t="shared" si="0"/>
        <v/>
      </c>
      <c r="J59" s="754">
        <f t="shared" si="1"/>
        <v>0</v>
      </c>
      <c r="K59" s="1254"/>
      <c r="L59" s="1252"/>
      <c r="M59" s="1252"/>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2">
      <c r="A60" s="17">
        <f t="shared" si="4"/>
        <v>45</v>
      </c>
      <c r="B60" s="1042"/>
      <c r="C60" s="1043"/>
      <c r="D60" s="880"/>
      <c r="E60" s="953"/>
      <c r="F60" s="883"/>
      <c r="G60" s="882"/>
      <c r="H60" s="1048"/>
      <c r="I60" s="684" t="str">
        <f t="shared" si="0"/>
        <v/>
      </c>
      <c r="J60" s="754">
        <f t="shared" si="1"/>
        <v>0</v>
      </c>
      <c r="K60" s="1254"/>
      <c r="L60" s="1252"/>
      <c r="M60" s="1252"/>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2">
      <c r="A61" s="17">
        <f t="shared" si="4"/>
        <v>46</v>
      </c>
      <c r="B61" s="1042"/>
      <c r="C61" s="1043"/>
      <c r="D61" s="880"/>
      <c r="E61" s="953"/>
      <c r="F61" s="883"/>
      <c r="G61" s="882"/>
      <c r="H61" s="1048"/>
      <c r="I61" s="684" t="str">
        <f t="shared" si="0"/>
        <v/>
      </c>
      <c r="J61" s="754">
        <f t="shared" si="1"/>
        <v>0</v>
      </c>
      <c r="K61" s="1254"/>
      <c r="L61" s="1252"/>
      <c r="M61" s="1252"/>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2">
      <c r="A62" s="17">
        <f t="shared" si="4"/>
        <v>47</v>
      </c>
      <c r="B62" s="1042"/>
      <c r="C62" s="1043"/>
      <c r="D62" s="880"/>
      <c r="E62" s="953"/>
      <c r="F62" s="883"/>
      <c r="G62" s="882"/>
      <c r="H62" s="1048"/>
      <c r="I62" s="684" t="str">
        <f t="shared" si="0"/>
        <v/>
      </c>
      <c r="J62" s="754">
        <f t="shared" si="1"/>
        <v>0</v>
      </c>
      <c r="K62" s="1254"/>
      <c r="L62" s="1252"/>
      <c r="M62" s="1252"/>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2">
      <c r="A63" s="17">
        <f t="shared" si="4"/>
        <v>48</v>
      </c>
      <c r="B63" s="1042"/>
      <c r="C63" s="1043"/>
      <c r="D63" s="880"/>
      <c r="E63" s="953"/>
      <c r="F63" s="883"/>
      <c r="G63" s="882"/>
      <c r="H63" s="1048"/>
      <c r="I63" s="684" t="str">
        <f t="shared" si="0"/>
        <v/>
      </c>
      <c r="J63" s="754">
        <f t="shared" si="1"/>
        <v>0</v>
      </c>
      <c r="K63" s="1254"/>
      <c r="L63" s="1252"/>
      <c r="M63" s="1252"/>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2">
      <c r="A64" s="17">
        <f t="shared" si="4"/>
        <v>49</v>
      </c>
      <c r="B64" s="1042"/>
      <c r="C64" s="1043"/>
      <c r="D64" s="880"/>
      <c r="E64" s="953"/>
      <c r="F64" s="883"/>
      <c r="G64" s="882"/>
      <c r="H64" s="1048"/>
      <c r="I64" s="684" t="str">
        <f t="shared" si="0"/>
        <v/>
      </c>
      <c r="J64" s="754">
        <f t="shared" si="1"/>
        <v>0</v>
      </c>
      <c r="K64" s="1254"/>
      <c r="L64" s="1252"/>
      <c r="M64" s="1252"/>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2">
      <c r="A65" s="17">
        <f t="shared" si="4"/>
        <v>50</v>
      </c>
      <c r="B65" s="1042"/>
      <c r="C65" s="1043"/>
      <c r="D65" s="880"/>
      <c r="E65" s="953"/>
      <c r="F65" s="883"/>
      <c r="G65" s="882"/>
      <c r="H65" s="1048"/>
      <c r="I65" s="684" t="str">
        <f t="shared" si="0"/>
        <v/>
      </c>
      <c r="J65" s="754">
        <f t="shared" si="1"/>
        <v>0</v>
      </c>
      <c r="K65" s="1254"/>
      <c r="L65" s="1252"/>
      <c r="M65" s="1252"/>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2">
      <c r="A66" s="17">
        <f t="shared" si="4"/>
        <v>51</v>
      </c>
      <c r="B66" s="1042"/>
      <c r="C66" s="1043"/>
      <c r="D66" s="880"/>
      <c r="E66" s="953"/>
      <c r="F66" s="883"/>
      <c r="G66" s="882"/>
      <c r="H66" s="1048"/>
      <c r="I66" s="684" t="str">
        <f t="shared" si="0"/>
        <v/>
      </c>
      <c r="J66" s="754">
        <f t="shared" si="1"/>
        <v>0</v>
      </c>
      <c r="K66" s="1254"/>
      <c r="L66" s="1252"/>
      <c r="M66" s="1252"/>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2">
      <c r="A67" s="17">
        <f t="shared" si="4"/>
        <v>52</v>
      </c>
      <c r="B67" s="1042"/>
      <c r="C67" s="1043"/>
      <c r="D67" s="880"/>
      <c r="E67" s="953"/>
      <c r="F67" s="883"/>
      <c r="G67" s="882"/>
      <c r="H67" s="1048"/>
      <c r="I67" s="684" t="str">
        <f t="shared" si="0"/>
        <v/>
      </c>
      <c r="J67" s="754">
        <f t="shared" si="1"/>
        <v>0</v>
      </c>
      <c r="K67" s="1254"/>
      <c r="L67" s="1252"/>
      <c r="M67" s="1252"/>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2">
      <c r="A68" s="17">
        <f t="shared" si="4"/>
        <v>53</v>
      </c>
      <c r="B68" s="1042"/>
      <c r="C68" s="1043"/>
      <c r="D68" s="880"/>
      <c r="E68" s="953"/>
      <c r="F68" s="883"/>
      <c r="G68" s="882"/>
      <c r="H68" s="1048"/>
      <c r="I68" s="684" t="str">
        <f t="shared" si="0"/>
        <v/>
      </c>
      <c r="J68" s="754">
        <f t="shared" si="1"/>
        <v>0</v>
      </c>
      <c r="K68" s="1254"/>
      <c r="L68" s="1252"/>
      <c r="M68" s="1252"/>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2">
      <c r="A69" s="17">
        <f t="shared" si="4"/>
        <v>54</v>
      </c>
      <c r="B69" s="1042"/>
      <c r="C69" s="1043"/>
      <c r="D69" s="880"/>
      <c r="E69" s="953"/>
      <c r="F69" s="883"/>
      <c r="G69" s="882"/>
      <c r="H69" s="1048"/>
      <c r="I69" s="684" t="str">
        <f t="shared" si="0"/>
        <v/>
      </c>
      <c r="J69" s="754">
        <f t="shared" si="1"/>
        <v>0</v>
      </c>
      <c r="K69" s="1254"/>
      <c r="L69" s="1252"/>
      <c r="M69" s="1252"/>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2">
      <c r="A70" s="17">
        <f t="shared" si="4"/>
        <v>55</v>
      </c>
      <c r="B70" s="1042"/>
      <c r="C70" s="1043"/>
      <c r="D70" s="880"/>
      <c r="E70" s="953"/>
      <c r="F70" s="883"/>
      <c r="G70" s="882"/>
      <c r="H70" s="1048"/>
      <c r="I70" s="684" t="str">
        <f t="shared" si="0"/>
        <v/>
      </c>
      <c r="J70" s="754">
        <f t="shared" si="1"/>
        <v>0</v>
      </c>
      <c r="K70" s="1254"/>
      <c r="L70" s="1252"/>
      <c r="M70" s="1252"/>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2">
      <c r="A71" s="17">
        <f t="shared" si="4"/>
        <v>56</v>
      </c>
      <c r="B71" s="1042"/>
      <c r="C71" s="1043"/>
      <c r="D71" s="880"/>
      <c r="E71" s="953"/>
      <c r="F71" s="883"/>
      <c r="G71" s="882"/>
      <c r="H71" s="1048"/>
      <c r="I71" s="684" t="str">
        <f t="shared" si="0"/>
        <v/>
      </c>
      <c r="J71" s="754">
        <f t="shared" si="1"/>
        <v>0</v>
      </c>
      <c r="K71" s="1254"/>
      <c r="L71" s="1252"/>
      <c r="M71" s="1252"/>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2">
      <c r="A72" s="17">
        <f t="shared" si="4"/>
        <v>57</v>
      </c>
      <c r="B72" s="1042"/>
      <c r="C72" s="1043"/>
      <c r="D72" s="880"/>
      <c r="E72" s="953"/>
      <c r="F72" s="883"/>
      <c r="G72" s="882"/>
      <c r="H72" s="1048"/>
      <c r="I72" s="684" t="str">
        <f t="shared" si="0"/>
        <v/>
      </c>
      <c r="J72" s="754">
        <f t="shared" si="1"/>
        <v>0</v>
      </c>
      <c r="K72" s="1254"/>
      <c r="L72" s="1252"/>
      <c r="M72" s="1252"/>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2">
      <c r="A73" s="17">
        <f t="shared" si="4"/>
        <v>58</v>
      </c>
      <c r="B73" s="1042"/>
      <c r="C73" s="1043"/>
      <c r="D73" s="880"/>
      <c r="E73" s="953"/>
      <c r="F73" s="883"/>
      <c r="G73" s="882"/>
      <c r="H73" s="1048"/>
      <c r="I73" s="684" t="str">
        <f t="shared" si="0"/>
        <v/>
      </c>
      <c r="J73" s="754">
        <f t="shared" si="1"/>
        <v>0</v>
      </c>
      <c r="K73" s="1254"/>
      <c r="L73" s="1252"/>
      <c r="M73" s="1252"/>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2">
      <c r="A74" s="17">
        <f t="shared" si="4"/>
        <v>59</v>
      </c>
      <c r="B74" s="1042"/>
      <c r="C74" s="1043"/>
      <c r="D74" s="880"/>
      <c r="E74" s="953"/>
      <c r="F74" s="883"/>
      <c r="G74" s="882"/>
      <c r="H74" s="1048"/>
      <c r="I74" s="684" t="str">
        <f t="shared" si="0"/>
        <v/>
      </c>
      <c r="J74" s="754">
        <f t="shared" si="1"/>
        <v>0</v>
      </c>
      <c r="K74" s="1254"/>
      <c r="L74" s="1252"/>
      <c r="M74" s="1252"/>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25">
      <c r="A75" s="17">
        <f t="shared" si="4"/>
        <v>60</v>
      </c>
      <c r="B75" s="1042"/>
      <c r="C75" s="1043"/>
      <c r="D75" s="880"/>
      <c r="E75" s="953"/>
      <c r="F75" s="883"/>
      <c r="G75" s="882"/>
      <c r="H75" s="1048"/>
      <c r="I75" s="684" t="str">
        <f t="shared" si="0"/>
        <v/>
      </c>
      <c r="J75" s="754">
        <f t="shared" si="1"/>
        <v>0</v>
      </c>
      <c r="K75" s="1254"/>
      <c r="L75" s="1252"/>
      <c r="M75" s="1252"/>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25">
      <c r="A76" s="17">
        <f t="shared" si="4"/>
        <v>61</v>
      </c>
      <c r="B76" s="1042"/>
      <c r="C76" s="1043"/>
      <c r="D76" s="880"/>
      <c r="E76" s="953"/>
      <c r="F76" s="883"/>
      <c r="G76" s="882"/>
      <c r="H76" s="1048"/>
      <c r="I76" s="684" t="str">
        <f t="shared" si="0"/>
        <v/>
      </c>
      <c r="J76" s="754">
        <f t="shared" si="1"/>
        <v>0</v>
      </c>
      <c r="K76" s="1254"/>
      <c r="L76" s="1252"/>
      <c r="M76" s="1252"/>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25">
      <c r="A77" s="17">
        <f t="shared" si="4"/>
        <v>62</v>
      </c>
      <c r="B77" s="1042"/>
      <c r="C77" s="1043"/>
      <c r="D77" s="880"/>
      <c r="E77" s="953"/>
      <c r="F77" s="883"/>
      <c r="G77" s="882"/>
      <c r="H77" s="1048"/>
      <c r="I77" s="684" t="str">
        <f t="shared" si="0"/>
        <v/>
      </c>
      <c r="J77" s="754">
        <f t="shared" si="1"/>
        <v>0</v>
      </c>
      <c r="K77" s="1254"/>
      <c r="L77" s="1252"/>
      <c r="M77" s="1252"/>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25">
      <c r="A78" s="17">
        <f t="shared" si="4"/>
        <v>63</v>
      </c>
      <c r="B78" s="1042"/>
      <c r="C78" s="1043"/>
      <c r="D78" s="880"/>
      <c r="E78" s="953"/>
      <c r="F78" s="883"/>
      <c r="G78" s="882"/>
      <c r="H78" s="1048"/>
      <c r="I78" s="684" t="str">
        <f t="shared" si="0"/>
        <v/>
      </c>
      <c r="J78" s="754">
        <f t="shared" si="1"/>
        <v>0</v>
      </c>
      <c r="K78" s="1254"/>
      <c r="L78" s="1252"/>
      <c r="M78" s="1252"/>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2">
      <c r="A79" s="17">
        <f t="shared" si="4"/>
        <v>64</v>
      </c>
      <c r="B79" s="1042"/>
      <c r="C79" s="1043"/>
      <c r="D79" s="880"/>
      <c r="E79" s="953"/>
      <c r="F79" s="883"/>
      <c r="G79" s="882"/>
      <c r="H79" s="1048"/>
      <c r="I79" s="684" t="str">
        <f t="shared" si="0"/>
        <v/>
      </c>
      <c r="J79" s="754">
        <f t="shared" si="1"/>
        <v>0</v>
      </c>
      <c r="K79" s="1254"/>
      <c r="L79" s="1252"/>
      <c r="M79" s="1252"/>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2">
      <c r="A80" s="17">
        <f t="shared" si="4"/>
        <v>65</v>
      </c>
      <c r="B80" s="1042"/>
      <c r="C80" s="1043"/>
      <c r="D80" s="880"/>
      <c r="E80" s="953"/>
      <c r="F80" s="883"/>
      <c r="G80" s="882"/>
      <c r="H80" s="1048"/>
      <c r="I80" s="684" t="str">
        <f t="shared" ref="I80:I143" si="6">LEFT(H80,4)</f>
        <v/>
      </c>
      <c r="J80" s="754">
        <f t="shared" ref="J80:J143" si="7">G80-BP80</f>
        <v>0</v>
      </c>
      <c r="K80" s="1254"/>
      <c r="L80" s="1252"/>
      <c r="M80" s="1252"/>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2">
      <c r="A81" s="17">
        <f t="shared" ref="A81:A144" si="10">$A80+1</f>
        <v>66</v>
      </c>
      <c r="B81" s="1042"/>
      <c r="C81" s="1043"/>
      <c r="D81" s="880"/>
      <c r="E81" s="953"/>
      <c r="F81" s="883"/>
      <c r="G81" s="882"/>
      <c r="H81" s="1048"/>
      <c r="I81" s="684" t="str">
        <f t="shared" si="6"/>
        <v/>
      </c>
      <c r="J81" s="754">
        <f t="shared" si="7"/>
        <v>0</v>
      </c>
      <c r="K81" s="1254"/>
      <c r="L81" s="1252"/>
      <c r="M81" s="1252"/>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2">
      <c r="A82" s="17">
        <f t="shared" si="10"/>
        <v>67</v>
      </c>
      <c r="B82" s="1042"/>
      <c r="C82" s="1043"/>
      <c r="D82" s="880"/>
      <c r="E82" s="953"/>
      <c r="F82" s="883"/>
      <c r="G82" s="882"/>
      <c r="H82" s="1048"/>
      <c r="I82" s="684" t="str">
        <f t="shared" si="6"/>
        <v/>
      </c>
      <c r="J82" s="754">
        <f t="shared" si="7"/>
        <v>0</v>
      </c>
      <c r="K82" s="1254"/>
      <c r="L82" s="1252"/>
      <c r="M82" s="1252"/>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2">
      <c r="A83" s="17">
        <f t="shared" si="10"/>
        <v>68</v>
      </c>
      <c r="B83" s="1042"/>
      <c r="C83" s="1043"/>
      <c r="D83" s="880"/>
      <c r="E83" s="953"/>
      <c r="F83" s="883"/>
      <c r="G83" s="882"/>
      <c r="H83" s="1048"/>
      <c r="I83" s="684" t="str">
        <f t="shared" si="6"/>
        <v/>
      </c>
      <c r="J83" s="754">
        <f t="shared" si="7"/>
        <v>0</v>
      </c>
      <c r="K83" s="1254"/>
      <c r="L83" s="1252"/>
      <c r="M83" s="1252"/>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2">
      <c r="A84" s="17">
        <f t="shared" si="10"/>
        <v>69</v>
      </c>
      <c r="B84" s="1042"/>
      <c r="C84" s="1043"/>
      <c r="D84" s="880"/>
      <c r="E84" s="953"/>
      <c r="F84" s="883"/>
      <c r="G84" s="882"/>
      <c r="H84" s="1048"/>
      <c r="I84" s="684" t="str">
        <f t="shared" si="6"/>
        <v/>
      </c>
      <c r="J84" s="754">
        <f t="shared" si="7"/>
        <v>0</v>
      </c>
      <c r="K84" s="1254"/>
      <c r="L84" s="1252"/>
      <c r="M84" s="1252"/>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2">
      <c r="A85" s="17">
        <f t="shared" si="10"/>
        <v>70</v>
      </c>
      <c r="B85" s="1042"/>
      <c r="C85" s="1043"/>
      <c r="D85" s="880"/>
      <c r="E85" s="953"/>
      <c r="F85" s="883"/>
      <c r="G85" s="882"/>
      <c r="H85" s="1048"/>
      <c r="I85" s="684" t="str">
        <f t="shared" si="6"/>
        <v/>
      </c>
      <c r="J85" s="754">
        <f t="shared" si="7"/>
        <v>0</v>
      </c>
      <c r="K85" s="1254"/>
      <c r="L85" s="1252"/>
      <c r="M85" s="1252"/>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2">
      <c r="A86" s="17">
        <f t="shared" si="10"/>
        <v>71</v>
      </c>
      <c r="B86" s="1042"/>
      <c r="C86" s="1043"/>
      <c r="D86" s="880"/>
      <c r="E86" s="953"/>
      <c r="F86" s="883"/>
      <c r="G86" s="882"/>
      <c r="H86" s="1048"/>
      <c r="I86" s="684" t="str">
        <f t="shared" si="6"/>
        <v/>
      </c>
      <c r="J86" s="754">
        <f t="shared" si="7"/>
        <v>0</v>
      </c>
      <c r="K86" s="1254"/>
      <c r="L86" s="1252"/>
      <c r="M86" s="1252"/>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2">
      <c r="A87" s="17">
        <f t="shared" si="10"/>
        <v>72</v>
      </c>
      <c r="B87" s="1042"/>
      <c r="C87" s="1043"/>
      <c r="D87" s="880"/>
      <c r="E87" s="953"/>
      <c r="F87" s="883"/>
      <c r="G87" s="882"/>
      <c r="H87" s="1048"/>
      <c r="I87" s="684" t="str">
        <f t="shared" si="6"/>
        <v/>
      </c>
      <c r="J87" s="754">
        <f t="shared" si="7"/>
        <v>0</v>
      </c>
      <c r="K87" s="1254"/>
      <c r="L87" s="1252"/>
      <c r="M87" s="1252"/>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2">
      <c r="A88" s="17">
        <f t="shared" si="10"/>
        <v>73</v>
      </c>
      <c r="B88" s="1044"/>
      <c r="C88" s="1045"/>
      <c r="D88" s="38"/>
      <c r="E88" s="954"/>
      <c r="F88" s="53"/>
      <c r="G88" s="39"/>
      <c r="H88" s="1050"/>
      <c r="I88" s="684" t="str">
        <f t="shared" si="6"/>
        <v/>
      </c>
      <c r="J88" s="754">
        <f t="shared" si="7"/>
        <v>0</v>
      </c>
      <c r="K88" s="1254"/>
      <c r="L88" s="1252"/>
      <c r="M88" s="1252"/>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2">
      <c r="A89" s="17">
        <f t="shared" si="10"/>
        <v>74</v>
      </c>
      <c r="B89" s="1044"/>
      <c r="C89" s="1045"/>
      <c r="D89" s="38"/>
      <c r="E89" s="954"/>
      <c r="F89" s="53"/>
      <c r="G89" s="39"/>
      <c r="H89" s="1048"/>
      <c r="I89" s="684" t="str">
        <f t="shared" si="6"/>
        <v/>
      </c>
      <c r="J89" s="754">
        <f t="shared" si="7"/>
        <v>0</v>
      </c>
      <c r="K89" s="1254"/>
      <c r="L89" s="1252"/>
      <c r="M89" s="1252"/>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2">
      <c r="A90" s="17">
        <f t="shared" si="10"/>
        <v>75</v>
      </c>
      <c r="B90" s="1044"/>
      <c r="C90" s="1045"/>
      <c r="D90" s="38"/>
      <c r="E90" s="954"/>
      <c r="F90" s="53"/>
      <c r="G90" s="39"/>
      <c r="H90" s="1048"/>
      <c r="I90" s="684" t="str">
        <f t="shared" si="6"/>
        <v/>
      </c>
      <c r="J90" s="754">
        <f t="shared" si="7"/>
        <v>0</v>
      </c>
      <c r="K90" s="1254"/>
      <c r="L90" s="1252"/>
      <c r="M90" s="1252"/>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2">
      <c r="A91" s="17">
        <f t="shared" si="10"/>
        <v>76</v>
      </c>
      <c r="B91" s="1044"/>
      <c r="C91" s="1045"/>
      <c r="D91" s="38"/>
      <c r="E91" s="954"/>
      <c r="F91" s="53"/>
      <c r="G91" s="39"/>
      <c r="H91" s="1048"/>
      <c r="I91" s="684" t="str">
        <f t="shared" si="6"/>
        <v/>
      </c>
      <c r="J91" s="754">
        <f t="shared" si="7"/>
        <v>0</v>
      </c>
      <c r="K91" s="1254"/>
      <c r="L91" s="1252"/>
      <c r="M91" s="1252"/>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2">
      <c r="A92" s="17">
        <f t="shared" si="10"/>
        <v>77</v>
      </c>
      <c r="B92" s="1044"/>
      <c r="C92" s="1045"/>
      <c r="D92" s="38"/>
      <c r="E92" s="954"/>
      <c r="F92" s="53"/>
      <c r="G92" s="39"/>
      <c r="H92" s="1048"/>
      <c r="I92" s="684" t="str">
        <f t="shared" si="6"/>
        <v/>
      </c>
      <c r="J92" s="754">
        <f t="shared" si="7"/>
        <v>0</v>
      </c>
      <c r="K92" s="1254"/>
      <c r="L92" s="1252"/>
      <c r="M92" s="1252"/>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2">
      <c r="A93" s="17">
        <f t="shared" si="10"/>
        <v>78</v>
      </c>
      <c r="B93" s="1044"/>
      <c r="C93" s="1045"/>
      <c r="D93" s="38"/>
      <c r="E93" s="954"/>
      <c r="F93" s="53"/>
      <c r="G93" s="39"/>
      <c r="H93" s="1048"/>
      <c r="I93" s="684" t="str">
        <f t="shared" si="6"/>
        <v/>
      </c>
      <c r="J93" s="754">
        <f t="shared" si="7"/>
        <v>0</v>
      </c>
      <c r="K93" s="1254"/>
      <c r="L93" s="1252"/>
      <c r="M93" s="1252"/>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2">
      <c r="A94" s="17">
        <f t="shared" si="10"/>
        <v>79</v>
      </c>
      <c r="B94" s="1044"/>
      <c r="C94" s="1045"/>
      <c r="D94" s="38"/>
      <c r="E94" s="954"/>
      <c r="F94" s="53"/>
      <c r="G94" s="39"/>
      <c r="H94" s="1048"/>
      <c r="I94" s="684" t="str">
        <f t="shared" si="6"/>
        <v/>
      </c>
      <c r="J94" s="754">
        <f t="shared" si="7"/>
        <v>0</v>
      </c>
      <c r="K94" s="1254"/>
      <c r="L94" s="1252"/>
      <c r="M94" s="1252"/>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2">
      <c r="A95" s="17">
        <f t="shared" si="10"/>
        <v>80</v>
      </c>
      <c r="B95" s="1044"/>
      <c r="C95" s="1045"/>
      <c r="D95" s="38"/>
      <c r="E95" s="954"/>
      <c r="F95" s="53"/>
      <c r="G95" s="39"/>
      <c r="H95" s="1048"/>
      <c r="I95" s="684" t="str">
        <f t="shared" si="6"/>
        <v/>
      </c>
      <c r="J95" s="754">
        <f t="shared" si="7"/>
        <v>0</v>
      </c>
      <c r="K95" s="1254"/>
      <c r="L95" s="1252"/>
      <c r="M95" s="1252"/>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2">
      <c r="A96" s="17">
        <f t="shared" si="10"/>
        <v>81</v>
      </c>
      <c r="B96" s="1044"/>
      <c r="C96" s="1045"/>
      <c r="D96" s="38"/>
      <c r="E96" s="954"/>
      <c r="F96" s="53"/>
      <c r="G96" s="39"/>
      <c r="H96" s="1048"/>
      <c r="I96" s="684" t="str">
        <f t="shared" si="6"/>
        <v/>
      </c>
      <c r="J96" s="754">
        <f t="shared" si="7"/>
        <v>0</v>
      </c>
      <c r="K96" s="1254"/>
      <c r="L96" s="1252"/>
      <c r="M96" s="1252"/>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2">
      <c r="A97" s="17">
        <f t="shared" si="10"/>
        <v>82</v>
      </c>
      <c r="B97" s="1044"/>
      <c r="C97" s="1045"/>
      <c r="D97" s="38"/>
      <c r="E97" s="954"/>
      <c r="F97" s="53"/>
      <c r="G97" s="39"/>
      <c r="H97" s="1048"/>
      <c r="I97" s="684" t="str">
        <f t="shared" si="6"/>
        <v/>
      </c>
      <c r="J97" s="754">
        <f t="shared" si="7"/>
        <v>0</v>
      </c>
      <c r="K97" s="1254"/>
      <c r="L97" s="1252"/>
      <c r="M97" s="1252"/>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2">
      <c r="A98" s="17">
        <f t="shared" si="10"/>
        <v>83</v>
      </c>
      <c r="B98" s="1044"/>
      <c r="C98" s="1045"/>
      <c r="D98" s="38"/>
      <c r="E98" s="954"/>
      <c r="F98" s="53"/>
      <c r="G98" s="39"/>
      <c r="H98" s="1048"/>
      <c r="I98" s="684" t="str">
        <f t="shared" si="6"/>
        <v/>
      </c>
      <c r="J98" s="754">
        <f t="shared" si="7"/>
        <v>0</v>
      </c>
      <c r="K98" s="1254"/>
      <c r="L98" s="1252"/>
      <c r="M98" s="1252"/>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2">
      <c r="A99" s="17">
        <f t="shared" si="10"/>
        <v>84</v>
      </c>
      <c r="B99" s="1044"/>
      <c r="C99" s="1045"/>
      <c r="D99" s="38"/>
      <c r="E99" s="954"/>
      <c r="F99" s="50"/>
      <c r="G99" s="39"/>
      <c r="H99" s="1048"/>
      <c r="I99" s="684" t="str">
        <f t="shared" si="6"/>
        <v/>
      </c>
      <c r="J99" s="754">
        <f t="shared" si="7"/>
        <v>0</v>
      </c>
      <c r="K99" s="1254"/>
      <c r="L99" s="1252"/>
      <c r="M99" s="1252"/>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2">
      <c r="A100" s="17">
        <f t="shared" si="10"/>
        <v>85</v>
      </c>
      <c r="B100" s="1044"/>
      <c r="C100" s="1045"/>
      <c r="D100" s="38"/>
      <c r="E100" s="954"/>
      <c r="F100" s="53"/>
      <c r="G100" s="39"/>
      <c r="H100" s="1048"/>
      <c r="I100" s="684" t="str">
        <f t="shared" si="6"/>
        <v/>
      </c>
      <c r="J100" s="754">
        <f t="shared" si="7"/>
        <v>0</v>
      </c>
      <c r="K100" s="1254"/>
      <c r="L100" s="1252"/>
      <c r="M100" s="1252"/>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2">
      <c r="A101" s="17">
        <f t="shared" si="10"/>
        <v>86</v>
      </c>
      <c r="B101" s="1044"/>
      <c r="C101" s="1045"/>
      <c r="D101" s="38"/>
      <c r="E101" s="954"/>
      <c r="F101" s="50"/>
      <c r="G101" s="39"/>
      <c r="H101" s="1048"/>
      <c r="I101" s="684" t="str">
        <f t="shared" si="6"/>
        <v/>
      </c>
      <c r="J101" s="754">
        <f t="shared" si="7"/>
        <v>0</v>
      </c>
      <c r="K101" s="1254"/>
      <c r="L101" s="1252"/>
      <c r="M101" s="1252"/>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2">
      <c r="A102" s="17">
        <f t="shared" si="10"/>
        <v>87</v>
      </c>
      <c r="B102" s="1044"/>
      <c r="C102" s="1045"/>
      <c r="D102" s="38"/>
      <c r="E102" s="954"/>
      <c r="F102" s="50"/>
      <c r="G102" s="39"/>
      <c r="H102" s="1050"/>
      <c r="I102" s="684" t="str">
        <f t="shared" si="6"/>
        <v/>
      </c>
      <c r="J102" s="754">
        <f t="shared" si="7"/>
        <v>0</v>
      </c>
      <c r="K102" s="1254"/>
      <c r="L102" s="1252"/>
      <c r="M102" s="1252"/>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2">
      <c r="A103" s="17">
        <f t="shared" si="10"/>
        <v>88</v>
      </c>
      <c r="B103" s="1044"/>
      <c r="C103" s="1045"/>
      <c r="D103" s="38"/>
      <c r="E103" s="954"/>
      <c r="F103" s="50"/>
      <c r="G103" s="39"/>
      <c r="H103" s="1048"/>
      <c r="I103" s="684" t="str">
        <f t="shared" si="6"/>
        <v/>
      </c>
      <c r="J103" s="754">
        <f t="shared" si="7"/>
        <v>0</v>
      </c>
      <c r="K103" s="1254"/>
      <c r="L103" s="1252"/>
      <c r="M103" s="1252"/>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2">
      <c r="A104" s="17">
        <f t="shared" si="10"/>
        <v>89</v>
      </c>
      <c r="B104" s="1044"/>
      <c r="C104" s="1045"/>
      <c r="D104" s="38"/>
      <c r="E104" s="954"/>
      <c r="F104" s="53"/>
      <c r="G104" s="39"/>
      <c r="H104" s="1050"/>
      <c r="I104" s="684" t="str">
        <f t="shared" si="6"/>
        <v/>
      </c>
      <c r="J104" s="754">
        <f t="shared" si="7"/>
        <v>0</v>
      </c>
      <c r="K104" s="1254"/>
      <c r="L104" s="1252"/>
      <c r="M104" s="1252"/>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2">
      <c r="A105" s="17">
        <f t="shared" si="10"/>
        <v>90</v>
      </c>
      <c r="B105" s="1044"/>
      <c r="C105" s="1045"/>
      <c r="D105" s="38"/>
      <c r="E105" s="954"/>
      <c r="F105" s="53"/>
      <c r="G105" s="39"/>
      <c r="H105" s="1048"/>
      <c r="I105" s="684" t="str">
        <f t="shared" si="6"/>
        <v/>
      </c>
      <c r="J105" s="754">
        <f t="shared" si="7"/>
        <v>0</v>
      </c>
      <c r="K105" s="1254"/>
      <c r="L105" s="1252"/>
      <c r="M105" s="1252"/>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2">
      <c r="A106" s="17">
        <f t="shared" si="10"/>
        <v>91</v>
      </c>
      <c r="B106" s="1044"/>
      <c r="C106" s="1045"/>
      <c r="D106" s="38"/>
      <c r="E106" s="954"/>
      <c r="F106" s="53"/>
      <c r="G106" s="39"/>
      <c r="H106" s="1050"/>
      <c r="I106" s="684" t="str">
        <f t="shared" si="6"/>
        <v/>
      </c>
      <c r="J106" s="754">
        <f t="shared" si="7"/>
        <v>0</v>
      </c>
      <c r="K106" s="1254"/>
      <c r="L106" s="1252"/>
      <c r="M106" s="1252"/>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2">
      <c r="A107" s="17">
        <f t="shared" si="10"/>
        <v>92</v>
      </c>
      <c r="B107" s="1044"/>
      <c r="C107" s="1045"/>
      <c r="D107" s="38"/>
      <c r="E107" s="954"/>
      <c r="F107" s="53"/>
      <c r="G107" s="39"/>
      <c r="H107" s="1050"/>
      <c r="I107" s="684" t="str">
        <f t="shared" si="6"/>
        <v/>
      </c>
      <c r="J107" s="754">
        <f t="shared" si="7"/>
        <v>0</v>
      </c>
      <c r="K107" s="1254"/>
      <c r="L107" s="1252"/>
      <c r="M107" s="1252"/>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2">
      <c r="A108" s="17">
        <f t="shared" si="10"/>
        <v>93</v>
      </c>
      <c r="B108" s="1044"/>
      <c r="C108" s="1045"/>
      <c r="D108" s="38"/>
      <c r="E108" s="954"/>
      <c r="F108" s="53"/>
      <c r="G108" s="39"/>
      <c r="H108" s="1050"/>
      <c r="I108" s="684" t="str">
        <f t="shared" si="6"/>
        <v/>
      </c>
      <c r="J108" s="754">
        <f t="shared" si="7"/>
        <v>0</v>
      </c>
      <c r="K108" s="1254"/>
      <c r="L108" s="1252"/>
      <c r="M108" s="1252"/>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2">
      <c r="A109" s="17">
        <f t="shared" si="10"/>
        <v>94</v>
      </c>
      <c r="B109" s="1044"/>
      <c r="C109" s="1045"/>
      <c r="D109" s="38"/>
      <c r="E109" s="954"/>
      <c r="F109" s="53"/>
      <c r="G109" s="39"/>
      <c r="H109" s="1050"/>
      <c r="I109" s="684" t="str">
        <f t="shared" si="6"/>
        <v/>
      </c>
      <c r="J109" s="754">
        <f t="shared" si="7"/>
        <v>0</v>
      </c>
      <c r="K109" s="1254"/>
      <c r="L109" s="1252"/>
      <c r="M109" s="1252"/>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2">
      <c r="A110" s="17">
        <f t="shared" si="10"/>
        <v>95</v>
      </c>
      <c r="B110" s="1044"/>
      <c r="C110" s="1045"/>
      <c r="D110" s="38"/>
      <c r="E110" s="954"/>
      <c r="F110" s="53"/>
      <c r="G110" s="39"/>
      <c r="H110" s="1050"/>
      <c r="I110" s="684" t="str">
        <f t="shared" si="6"/>
        <v/>
      </c>
      <c r="J110" s="754">
        <f t="shared" si="7"/>
        <v>0</v>
      </c>
      <c r="K110" s="1254"/>
      <c r="L110" s="1252"/>
      <c r="M110" s="1252"/>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2">
      <c r="A111" s="17">
        <f t="shared" si="10"/>
        <v>96</v>
      </c>
      <c r="B111" s="1044"/>
      <c r="C111" s="1045"/>
      <c r="D111" s="38"/>
      <c r="E111" s="954"/>
      <c r="F111" s="53"/>
      <c r="G111" s="39"/>
      <c r="H111" s="1050"/>
      <c r="I111" s="684" t="str">
        <f t="shared" si="6"/>
        <v/>
      </c>
      <c r="J111" s="754">
        <f t="shared" si="7"/>
        <v>0</v>
      </c>
      <c r="K111" s="1254"/>
      <c r="L111" s="1252"/>
      <c r="M111" s="1255"/>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2">
      <c r="A112" s="17">
        <f t="shared" si="10"/>
        <v>97</v>
      </c>
      <c r="B112" s="1044"/>
      <c r="C112" s="1045"/>
      <c r="D112" s="38"/>
      <c r="E112" s="954"/>
      <c r="F112" s="53"/>
      <c r="G112" s="39"/>
      <c r="H112" s="1050"/>
      <c r="I112" s="684" t="str">
        <f t="shared" si="6"/>
        <v/>
      </c>
      <c r="J112" s="754">
        <f t="shared" si="7"/>
        <v>0</v>
      </c>
      <c r="K112" s="1254"/>
      <c r="L112" s="1252"/>
      <c r="M112" s="1255"/>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2">
      <c r="A113" s="17">
        <f t="shared" si="10"/>
        <v>98</v>
      </c>
      <c r="B113" s="1044"/>
      <c r="C113" s="1045"/>
      <c r="D113" s="38"/>
      <c r="E113" s="954"/>
      <c r="F113" s="53"/>
      <c r="G113" s="39"/>
      <c r="H113" s="1050"/>
      <c r="I113" s="684" t="str">
        <f t="shared" si="6"/>
        <v/>
      </c>
      <c r="J113" s="754">
        <f t="shared" si="7"/>
        <v>0</v>
      </c>
      <c r="K113" s="1254"/>
      <c r="L113" s="1252"/>
      <c r="M113" s="1255"/>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2">
      <c r="A114" s="17">
        <f t="shared" si="10"/>
        <v>99</v>
      </c>
      <c r="B114" s="1044"/>
      <c r="C114" s="1045"/>
      <c r="D114" s="38"/>
      <c r="E114" s="954"/>
      <c r="F114" s="53"/>
      <c r="G114" s="39"/>
      <c r="H114" s="1050"/>
      <c r="I114" s="684" t="str">
        <f t="shared" si="6"/>
        <v/>
      </c>
      <c r="J114" s="754">
        <f t="shared" si="7"/>
        <v>0</v>
      </c>
      <c r="K114" s="1254"/>
      <c r="L114" s="1252"/>
      <c r="M114" s="1255"/>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2">
      <c r="A115" s="17">
        <f t="shared" si="10"/>
        <v>100</v>
      </c>
      <c r="B115" s="1044"/>
      <c r="C115" s="1045"/>
      <c r="D115" s="38"/>
      <c r="E115" s="954"/>
      <c r="F115" s="53"/>
      <c r="G115" s="39"/>
      <c r="H115" s="1050"/>
      <c r="I115" s="684" t="str">
        <f t="shared" si="6"/>
        <v/>
      </c>
      <c r="J115" s="754">
        <f t="shared" si="7"/>
        <v>0</v>
      </c>
      <c r="K115" s="1251"/>
      <c r="L115" s="1252"/>
      <c r="M115" s="1255"/>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2">
      <c r="A116" s="17">
        <f t="shared" si="10"/>
        <v>101</v>
      </c>
      <c r="B116" s="1044"/>
      <c r="C116" s="1045"/>
      <c r="D116" s="38"/>
      <c r="E116" s="954"/>
      <c r="F116" s="53"/>
      <c r="G116" s="39"/>
      <c r="H116" s="1050"/>
      <c r="I116" s="684" t="str">
        <f t="shared" si="6"/>
        <v/>
      </c>
      <c r="J116" s="754">
        <f t="shared" si="7"/>
        <v>0</v>
      </c>
      <c r="K116" s="1251"/>
      <c r="L116" s="1252"/>
      <c r="M116" s="1255"/>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2">
      <c r="A117" s="17">
        <f t="shared" si="10"/>
        <v>102</v>
      </c>
      <c r="B117" s="1044"/>
      <c r="C117" s="1045"/>
      <c r="D117" s="38"/>
      <c r="E117" s="954"/>
      <c r="F117" s="53"/>
      <c r="G117" s="39"/>
      <c r="H117" s="1050"/>
      <c r="I117" s="684" t="str">
        <f t="shared" si="6"/>
        <v/>
      </c>
      <c r="J117" s="754">
        <f t="shared" si="7"/>
        <v>0</v>
      </c>
      <c r="K117" s="1251"/>
      <c r="L117" s="1252"/>
      <c r="M117" s="1255"/>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2">
      <c r="A118" s="17">
        <f t="shared" si="10"/>
        <v>103</v>
      </c>
      <c r="B118" s="1044"/>
      <c r="C118" s="1045"/>
      <c r="D118" s="38"/>
      <c r="E118" s="954"/>
      <c r="F118" s="53"/>
      <c r="G118" s="39"/>
      <c r="H118" s="1050"/>
      <c r="I118" s="684" t="str">
        <f t="shared" si="6"/>
        <v/>
      </c>
      <c r="J118" s="754">
        <f t="shared" si="7"/>
        <v>0</v>
      </c>
      <c r="K118" s="1251"/>
      <c r="L118" s="1252"/>
      <c r="M118" s="1255"/>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2">
      <c r="A119" s="17">
        <f t="shared" si="10"/>
        <v>104</v>
      </c>
      <c r="B119" s="1044"/>
      <c r="C119" s="1045"/>
      <c r="D119" s="38"/>
      <c r="E119" s="954"/>
      <c r="F119" s="53"/>
      <c r="G119" s="39"/>
      <c r="H119" s="1050"/>
      <c r="I119" s="684" t="str">
        <f t="shared" si="6"/>
        <v/>
      </c>
      <c r="J119" s="754">
        <f t="shared" si="7"/>
        <v>0</v>
      </c>
      <c r="K119" s="1251"/>
      <c r="L119" s="1252"/>
      <c r="M119" s="1255"/>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2">
      <c r="A120" s="17">
        <f t="shared" si="10"/>
        <v>105</v>
      </c>
      <c r="B120" s="1044"/>
      <c r="C120" s="1045"/>
      <c r="D120" s="38"/>
      <c r="E120" s="954"/>
      <c r="F120" s="53"/>
      <c r="G120" s="39"/>
      <c r="H120" s="1050"/>
      <c r="I120" s="684" t="str">
        <f t="shared" si="6"/>
        <v/>
      </c>
      <c r="J120" s="754">
        <f t="shared" si="7"/>
        <v>0</v>
      </c>
      <c r="K120" s="1251"/>
      <c r="L120" s="1252"/>
      <c r="M120" s="1255"/>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2">
      <c r="A121" s="17">
        <f t="shared" si="10"/>
        <v>106</v>
      </c>
      <c r="B121" s="1044"/>
      <c r="C121" s="1045"/>
      <c r="D121" s="38"/>
      <c r="E121" s="954"/>
      <c r="F121" s="53"/>
      <c r="G121" s="39"/>
      <c r="H121" s="1050"/>
      <c r="I121" s="684" t="str">
        <f t="shared" si="6"/>
        <v/>
      </c>
      <c r="J121" s="754">
        <f t="shared" si="7"/>
        <v>0</v>
      </c>
      <c r="K121" s="1251"/>
      <c r="L121" s="1252"/>
      <c r="M121" s="1255"/>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2">
      <c r="A122" s="17">
        <f t="shared" si="10"/>
        <v>107</v>
      </c>
      <c r="B122" s="1044"/>
      <c r="C122" s="1045"/>
      <c r="D122" s="38"/>
      <c r="E122" s="954"/>
      <c r="F122" s="53"/>
      <c r="G122" s="39"/>
      <c r="H122" s="1050"/>
      <c r="I122" s="684" t="str">
        <f t="shared" si="6"/>
        <v/>
      </c>
      <c r="J122" s="754">
        <f t="shared" si="7"/>
        <v>0</v>
      </c>
      <c r="K122" s="1251"/>
      <c r="L122" s="1252"/>
      <c r="M122" s="1255"/>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2">
      <c r="A123" s="17">
        <f t="shared" si="10"/>
        <v>108</v>
      </c>
      <c r="B123" s="1044"/>
      <c r="C123" s="1045"/>
      <c r="D123" s="38"/>
      <c r="E123" s="954"/>
      <c r="F123" s="53"/>
      <c r="G123" s="39"/>
      <c r="H123" s="1050"/>
      <c r="I123" s="684" t="str">
        <f t="shared" si="6"/>
        <v/>
      </c>
      <c r="J123" s="754">
        <f t="shared" si="7"/>
        <v>0</v>
      </c>
      <c r="K123" s="1251"/>
      <c r="L123" s="1252"/>
      <c r="M123" s="1255"/>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2">
      <c r="A124" s="17">
        <f t="shared" si="10"/>
        <v>109</v>
      </c>
      <c r="B124" s="1044"/>
      <c r="C124" s="1045"/>
      <c r="D124" s="38"/>
      <c r="E124" s="954"/>
      <c r="F124" s="53"/>
      <c r="G124" s="39"/>
      <c r="H124" s="1050"/>
      <c r="I124" s="684" t="str">
        <f t="shared" si="6"/>
        <v/>
      </c>
      <c r="J124" s="754">
        <f t="shared" si="7"/>
        <v>0</v>
      </c>
      <c r="K124" s="1251"/>
      <c r="L124" s="1252"/>
      <c r="M124" s="1255"/>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2">
      <c r="A125" s="17">
        <f t="shared" si="10"/>
        <v>110</v>
      </c>
      <c r="B125" s="1044"/>
      <c r="C125" s="1045"/>
      <c r="D125" s="38"/>
      <c r="E125" s="954"/>
      <c r="F125" s="53"/>
      <c r="G125" s="39"/>
      <c r="H125" s="1050"/>
      <c r="I125" s="684" t="str">
        <f t="shared" si="6"/>
        <v/>
      </c>
      <c r="J125" s="754">
        <f t="shared" si="7"/>
        <v>0</v>
      </c>
      <c r="K125" s="1251"/>
      <c r="L125" s="1252"/>
      <c r="M125" s="1255"/>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2">
      <c r="A126" s="17">
        <f t="shared" si="10"/>
        <v>111</v>
      </c>
      <c r="B126" s="1044"/>
      <c r="C126" s="1045"/>
      <c r="D126" s="38"/>
      <c r="E126" s="954"/>
      <c r="F126" s="53"/>
      <c r="G126" s="39"/>
      <c r="H126" s="1050"/>
      <c r="I126" s="684" t="str">
        <f t="shared" si="6"/>
        <v/>
      </c>
      <c r="J126" s="754">
        <f t="shared" si="7"/>
        <v>0</v>
      </c>
      <c r="K126" s="1251"/>
      <c r="L126" s="1252"/>
      <c r="M126" s="1255"/>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2">
      <c r="A127" s="17">
        <f t="shared" si="10"/>
        <v>112</v>
      </c>
      <c r="B127" s="1044"/>
      <c r="C127" s="1045"/>
      <c r="D127" s="38"/>
      <c r="E127" s="954"/>
      <c r="F127" s="53"/>
      <c r="G127" s="39"/>
      <c r="H127" s="1050"/>
      <c r="I127" s="684" t="str">
        <f t="shared" si="6"/>
        <v/>
      </c>
      <c r="J127" s="754">
        <f t="shared" si="7"/>
        <v>0</v>
      </c>
      <c r="K127" s="1251"/>
      <c r="L127" s="1252"/>
      <c r="M127" s="1255"/>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2">
      <c r="A128" s="17">
        <f t="shared" si="10"/>
        <v>113</v>
      </c>
      <c r="B128" s="1044"/>
      <c r="C128" s="1045"/>
      <c r="D128" s="38"/>
      <c r="E128" s="954"/>
      <c r="F128" s="53"/>
      <c r="G128" s="39"/>
      <c r="H128" s="1050"/>
      <c r="I128" s="684" t="str">
        <f t="shared" si="6"/>
        <v/>
      </c>
      <c r="J128" s="754">
        <f t="shared" si="7"/>
        <v>0</v>
      </c>
      <c r="K128" s="1251"/>
      <c r="L128" s="1252"/>
      <c r="M128" s="1255"/>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2">
      <c r="A129" s="17">
        <f t="shared" si="10"/>
        <v>114</v>
      </c>
      <c r="B129" s="1044"/>
      <c r="C129" s="1045"/>
      <c r="D129" s="38"/>
      <c r="E129" s="954"/>
      <c r="F129" s="53"/>
      <c r="G129" s="39"/>
      <c r="H129" s="1050"/>
      <c r="I129" s="684" t="str">
        <f t="shared" si="6"/>
        <v/>
      </c>
      <c r="J129" s="754">
        <f t="shared" si="7"/>
        <v>0</v>
      </c>
      <c r="K129" s="1251"/>
      <c r="L129" s="1252"/>
      <c r="M129" s="1255"/>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2">
      <c r="A130" s="17">
        <f t="shared" si="10"/>
        <v>115</v>
      </c>
      <c r="B130" s="1044"/>
      <c r="C130" s="1045"/>
      <c r="D130" s="38"/>
      <c r="E130" s="954"/>
      <c r="F130" s="53"/>
      <c r="G130" s="39"/>
      <c r="H130" s="1050"/>
      <c r="I130" s="684" t="str">
        <f t="shared" si="6"/>
        <v/>
      </c>
      <c r="J130" s="754">
        <f t="shared" si="7"/>
        <v>0</v>
      </c>
      <c r="K130" s="1251"/>
      <c r="L130" s="1252"/>
      <c r="M130" s="1255"/>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2">
      <c r="A131" s="17">
        <f t="shared" si="10"/>
        <v>116</v>
      </c>
      <c r="B131" s="1044"/>
      <c r="C131" s="1045"/>
      <c r="D131" s="38"/>
      <c r="E131" s="954"/>
      <c r="F131" s="53"/>
      <c r="G131" s="39"/>
      <c r="H131" s="1050"/>
      <c r="I131" s="684" t="str">
        <f t="shared" si="6"/>
        <v/>
      </c>
      <c r="J131" s="754">
        <f t="shared" si="7"/>
        <v>0</v>
      </c>
      <c r="K131" s="1251"/>
      <c r="L131" s="1252"/>
      <c r="M131" s="1255"/>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2">
      <c r="A132" s="17">
        <f t="shared" si="10"/>
        <v>117</v>
      </c>
      <c r="B132" s="1044"/>
      <c r="C132" s="1045"/>
      <c r="D132" s="38"/>
      <c r="E132" s="954"/>
      <c r="F132" s="53"/>
      <c r="G132" s="39"/>
      <c r="H132" s="1050"/>
      <c r="I132" s="684" t="str">
        <f t="shared" si="6"/>
        <v/>
      </c>
      <c r="J132" s="754">
        <f t="shared" si="7"/>
        <v>0</v>
      </c>
      <c r="K132" s="1251"/>
      <c r="L132" s="1252"/>
      <c r="M132" s="1255"/>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2">
      <c r="A133" s="17">
        <f t="shared" si="10"/>
        <v>118</v>
      </c>
      <c r="B133" s="1044"/>
      <c r="C133" s="1045"/>
      <c r="D133" s="38"/>
      <c r="E133" s="954"/>
      <c r="F133" s="53"/>
      <c r="G133" s="39"/>
      <c r="H133" s="1050"/>
      <c r="I133" s="684" t="str">
        <f t="shared" si="6"/>
        <v/>
      </c>
      <c r="J133" s="754">
        <f t="shared" si="7"/>
        <v>0</v>
      </c>
      <c r="K133" s="1251"/>
      <c r="L133" s="1252"/>
      <c r="M133" s="1255"/>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2">
      <c r="A134" s="17">
        <f t="shared" si="10"/>
        <v>119</v>
      </c>
      <c r="B134" s="1044"/>
      <c r="C134" s="1045"/>
      <c r="D134" s="38"/>
      <c r="E134" s="954"/>
      <c r="F134" s="53"/>
      <c r="G134" s="39"/>
      <c r="H134" s="1050"/>
      <c r="I134" s="684" t="str">
        <f t="shared" si="6"/>
        <v/>
      </c>
      <c r="J134" s="754">
        <f t="shared" si="7"/>
        <v>0</v>
      </c>
      <c r="K134" s="1251"/>
      <c r="L134" s="1252"/>
      <c r="M134" s="1255"/>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2">
      <c r="A135" s="17">
        <f t="shared" si="10"/>
        <v>120</v>
      </c>
      <c r="B135" s="1044"/>
      <c r="C135" s="1045"/>
      <c r="D135" s="38"/>
      <c r="E135" s="954"/>
      <c r="F135" s="53"/>
      <c r="G135" s="39"/>
      <c r="H135" s="1050"/>
      <c r="I135" s="684" t="str">
        <f t="shared" si="6"/>
        <v/>
      </c>
      <c r="J135" s="754">
        <f t="shared" si="7"/>
        <v>0</v>
      </c>
      <c r="K135" s="1251"/>
      <c r="L135" s="1252"/>
      <c r="M135" s="1255"/>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2">
      <c r="A136" s="17">
        <f t="shared" si="10"/>
        <v>121</v>
      </c>
      <c r="B136" s="1044"/>
      <c r="C136" s="1045"/>
      <c r="D136" s="38"/>
      <c r="E136" s="954"/>
      <c r="F136" s="53"/>
      <c r="G136" s="39"/>
      <c r="H136" s="1050"/>
      <c r="I136" s="684" t="str">
        <f t="shared" si="6"/>
        <v/>
      </c>
      <c r="J136" s="754">
        <f t="shared" si="7"/>
        <v>0</v>
      </c>
      <c r="K136" s="1251"/>
      <c r="L136" s="1252"/>
      <c r="M136" s="1255"/>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2">
      <c r="A137" s="17">
        <f t="shared" si="10"/>
        <v>122</v>
      </c>
      <c r="B137" s="1044"/>
      <c r="C137" s="1045"/>
      <c r="D137" s="38"/>
      <c r="E137" s="954"/>
      <c r="F137" s="53"/>
      <c r="G137" s="39"/>
      <c r="H137" s="1050"/>
      <c r="I137" s="684" t="str">
        <f t="shared" si="6"/>
        <v/>
      </c>
      <c r="J137" s="754">
        <f t="shared" si="7"/>
        <v>0</v>
      </c>
      <c r="K137" s="1251"/>
      <c r="L137" s="1252"/>
      <c r="M137" s="1255"/>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2">
      <c r="A138" s="17">
        <f t="shared" si="10"/>
        <v>123</v>
      </c>
      <c r="B138" s="1044"/>
      <c r="C138" s="1045"/>
      <c r="D138" s="38"/>
      <c r="E138" s="954"/>
      <c r="F138" s="53"/>
      <c r="G138" s="39"/>
      <c r="H138" s="1050"/>
      <c r="I138" s="684" t="str">
        <f t="shared" si="6"/>
        <v/>
      </c>
      <c r="J138" s="754">
        <f t="shared" si="7"/>
        <v>0</v>
      </c>
      <c r="K138" s="1251"/>
      <c r="L138" s="1252"/>
      <c r="M138" s="1255"/>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25">
      <c r="A139" s="17">
        <f t="shared" si="10"/>
        <v>124</v>
      </c>
      <c r="B139" s="1044"/>
      <c r="C139" s="1045"/>
      <c r="D139" s="38"/>
      <c r="E139" s="954"/>
      <c r="F139" s="53"/>
      <c r="G139" s="39"/>
      <c r="H139" s="1050"/>
      <c r="I139" s="684" t="str">
        <f t="shared" si="6"/>
        <v/>
      </c>
      <c r="J139" s="754">
        <f t="shared" si="7"/>
        <v>0</v>
      </c>
      <c r="K139" s="1251"/>
      <c r="L139" s="1252"/>
      <c r="M139" s="1255"/>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25">
      <c r="A140" s="17">
        <f t="shared" si="10"/>
        <v>125</v>
      </c>
      <c r="B140" s="1044"/>
      <c r="C140" s="1045"/>
      <c r="D140" s="38"/>
      <c r="E140" s="954"/>
      <c r="F140" s="53"/>
      <c r="G140" s="39"/>
      <c r="H140" s="1050"/>
      <c r="I140" s="684" t="str">
        <f t="shared" si="6"/>
        <v/>
      </c>
      <c r="J140" s="754">
        <f t="shared" si="7"/>
        <v>0</v>
      </c>
      <c r="K140" s="1251"/>
      <c r="L140" s="1252"/>
      <c r="M140" s="1252"/>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25">
      <c r="A141" s="17">
        <f t="shared" si="10"/>
        <v>126</v>
      </c>
      <c r="B141" s="1044"/>
      <c r="C141" s="1045"/>
      <c r="D141" s="38"/>
      <c r="E141" s="954"/>
      <c r="F141" s="53"/>
      <c r="G141" s="39"/>
      <c r="H141" s="1050"/>
      <c r="I141" s="684" t="str">
        <f t="shared" si="6"/>
        <v/>
      </c>
      <c r="J141" s="754">
        <f t="shared" si="7"/>
        <v>0</v>
      </c>
      <c r="K141" s="1251"/>
      <c r="L141" s="1252"/>
      <c r="M141" s="1252"/>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25">
      <c r="A142" s="17">
        <f t="shared" si="10"/>
        <v>127</v>
      </c>
      <c r="B142" s="1044"/>
      <c r="C142" s="1045"/>
      <c r="D142" s="38"/>
      <c r="E142" s="954"/>
      <c r="F142" s="53"/>
      <c r="G142" s="39"/>
      <c r="H142" s="1050"/>
      <c r="I142" s="684" t="str">
        <f t="shared" si="6"/>
        <v/>
      </c>
      <c r="J142" s="754">
        <f t="shared" si="7"/>
        <v>0</v>
      </c>
      <c r="K142" s="1251"/>
      <c r="L142" s="1252"/>
      <c r="M142" s="1252"/>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25">
      <c r="A143" s="17">
        <f t="shared" si="10"/>
        <v>128</v>
      </c>
      <c r="B143" s="1044"/>
      <c r="C143" s="1045"/>
      <c r="D143" s="38"/>
      <c r="E143" s="954"/>
      <c r="F143" s="53"/>
      <c r="G143" s="39"/>
      <c r="H143" s="1050"/>
      <c r="I143" s="684" t="str">
        <f t="shared" si="6"/>
        <v/>
      </c>
      <c r="J143" s="754">
        <f t="shared" si="7"/>
        <v>0</v>
      </c>
      <c r="K143" s="1251"/>
      <c r="L143" s="1252"/>
      <c r="M143" s="1252"/>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25">
      <c r="A144" s="17">
        <f t="shared" si="10"/>
        <v>129</v>
      </c>
      <c r="B144" s="1044"/>
      <c r="C144" s="1045"/>
      <c r="D144" s="38"/>
      <c r="E144" s="954"/>
      <c r="F144" s="53"/>
      <c r="G144" s="39"/>
      <c r="H144" s="1050"/>
      <c r="I144" s="684" t="str">
        <f t="shared" ref="I144:I207" si="12">LEFT(H144,4)</f>
        <v/>
      </c>
      <c r="J144" s="754">
        <f t="shared" ref="J144:J207" si="13">G144-BP144</f>
        <v>0</v>
      </c>
      <c r="K144" s="1251"/>
      <c r="L144" s="1252"/>
      <c r="M144" s="1252"/>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25">
      <c r="A145" s="17">
        <f t="shared" ref="A145:A208" si="16">$A144+1</f>
        <v>130</v>
      </c>
      <c r="B145" s="1044"/>
      <c r="C145" s="1045"/>
      <c r="D145" s="38"/>
      <c r="E145" s="954"/>
      <c r="F145" s="53"/>
      <c r="G145" s="39"/>
      <c r="H145" s="1050"/>
      <c r="I145" s="684" t="str">
        <f t="shared" si="12"/>
        <v/>
      </c>
      <c r="J145" s="754">
        <f t="shared" si="13"/>
        <v>0</v>
      </c>
      <c r="K145" s="1251"/>
      <c r="L145" s="1252"/>
      <c r="M145" s="1252"/>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25">
      <c r="A146" s="17">
        <f t="shared" si="16"/>
        <v>131</v>
      </c>
      <c r="B146" s="1044"/>
      <c r="C146" s="1045"/>
      <c r="D146" s="38"/>
      <c r="E146" s="954"/>
      <c r="F146" s="53"/>
      <c r="G146" s="39"/>
      <c r="H146" s="1050"/>
      <c r="I146" s="684" t="str">
        <f t="shared" si="12"/>
        <v/>
      </c>
      <c r="J146" s="754">
        <f t="shared" si="13"/>
        <v>0</v>
      </c>
      <c r="K146" s="1251"/>
      <c r="L146" s="1252"/>
      <c r="M146" s="1252"/>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25">
      <c r="A147" s="17">
        <f t="shared" si="16"/>
        <v>132</v>
      </c>
      <c r="B147" s="1044"/>
      <c r="C147" s="1045"/>
      <c r="D147" s="38"/>
      <c r="E147" s="954"/>
      <c r="F147" s="53"/>
      <c r="G147" s="39"/>
      <c r="H147" s="1050"/>
      <c r="I147" s="684" t="str">
        <f t="shared" si="12"/>
        <v/>
      </c>
      <c r="J147" s="754">
        <f t="shared" si="13"/>
        <v>0</v>
      </c>
      <c r="K147" s="1251"/>
      <c r="L147" s="1252"/>
      <c r="M147" s="1252"/>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25">
      <c r="A148" s="17">
        <f t="shared" si="16"/>
        <v>133</v>
      </c>
      <c r="B148" s="1044"/>
      <c r="C148" s="1045"/>
      <c r="D148" s="38"/>
      <c r="E148" s="954"/>
      <c r="F148" s="53"/>
      <c r="G148" s="39"/>
      <c r="H148" s="1050"/>
      <c r="I148" s="684" t="str">
        <f t="shared" si="12"/>
        <v/>
      </c>
      <c r="J148" s="754">
        <f t="shared" si="13"/>
        <v>0</v>
      </c>
      <c r="K148" s="1251"/>
      <c r="L148" s="1252"/>
      <c r="M148" s="1252"/>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25">
      <c r="A149" s="17">
        <f t="shared" si="16"/>
        <v>134</v>
      </c>
      <c r="B149" s="1044"/>
      <c r="C149" s="1045"/>
      <c r="D149" s="38"/>
      <c r="E149" s="954"/>
      <c r="F149" s="53"/>
      <c r="G149" s="39"/>
      <c r="H149" s="1050"/>
      <c r="I149" s="684" t="str">
        <f t="shared" si="12"/>
        <v/>
      </c>
      <c r="J149" s="754">
        <f t="shared" si="13"/>
        <v>0</v>
      </c>
      <c r="K149" s="1251"/>
      <c r="L149" s="1252"/>
      <c r="M149" s="1252"/>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25">
      <c r="A150" s="17">
        <f t="shared" si="16"/>
        <v>135</v>
      </c>
      <c r="B150" s="1044"/>
      <c r="C150" s="1045"/>
      <c r="D150" s="38"/>
      <c r="E150" s="954"/>
      <c r="F150" s="53"/>
      <c r="G150" s="39"/>
      <c r="H150" s="1050"/>
      <c r="I150" s="684" t="str">
        <f t="shared" si="12"/>
        <v/>
      </c>
      <c r="J150" s="754">
        <f t="shared" si="13"/>
        <v>0</v>
      </c>
      <c r="K150" s="1251"/>
      <c r="L150" s="1252"/>
      <c r="M150" s="1252"/>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25">
      <c r="A151" s="17">
        <f t="shared" si="16"/>
        <v>136</v>
      </c>
      <c r="B151" s="1044"/>
      <c r="C151" s="1045"/>
      <c r="D151" s="38"/>
      <c r="E151" s="954"/>
      <c r="F151" s="53"/>
      <c r="G151" s="39"/>
      <c r="H151" s="1050"/>
      <c r="I151" s="684" t="str">
        <f t="shared" si="12"/>
        <v/>
      </c>
      <c r="J151" s="754">
        <f t="shared" si="13"/>
        <v>0</v>
      </c>
      <c r="K151" s="1251"/>
      <c r="L151" s="1252"/>
      <c r="M151" s="1252"/>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25">
      <c r="A152" s="17">
        <f t="shared" si="16"/>
        <v>137</v>
      </c>
      <c r="B152" s="1044"/>
      <c r="C152" s="1045"/>
      <c r="D152" s="38"/>
      <c r="E152" s="954"/>
      <c r="F152" s="53"/>
      <c r="G152" s="39"/>
      <c r="H152" s="1050"/>
      <c r="I152" s="684" t="str">
        <f t="shared" si="12"/>
        <v/>
      </c>
      <c r="J152" s="754">
        <f t="shared" si="13"/>
        <v>0</v>
      </c>
      <c r="K152" s="1251"/>
      <c r="L152" s="1252"/>
      <c r="M152" s="1252"/>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25">
      <c r="A153" s="17">
        <f t="shared" si="16"/>
        <v>138</v>
      </c>
      <c r="B153" s="1044"/>
      <c r="C153" s="1045"/>
      <c r="D153" s="38"/>
      <c r="E153" s="954"/>
      <c r="F153" s="53"/>
      <c r="G153" s="39"/>
      <c r="H153" s="1050"/>
      <c r="I153" s="684" t="str">
        <f t="shared" si="12"/>
        <v/>
      </c>
      <c r="J153" s="754">
        <f t="shared" si="13"/>
        <v>0</v>
      </c>
      <c r="K153" s="1251"/>
      <c r="L153" s="1252"/>
      <c r="M153" s="1252"/>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25">
      <c r="A154" s="17">
        <f t="shared" si="16"/>
        <v>139</v>
      </c>
      <c r="B154" s="1044"/>
      <c r="C154" s="1045"/>
      <c r="D154" s="38"/>
      <c r="E154" s="954"/>
      <c r="F154" s="53"/>
      <c r="G154" s="39"/>
      <c r="H154" s="1050"/>
      <c r="I154" s="684" t="str">
        <f t="shared" si="12"/>
        <v/>
      </c>
      <c r="J154" s="754">
        <f t="shared" si="13"/>
        <v>0</v>
      </c>
      <c r="K154" s="1251"/>
      <c r="L154" s="1252"/>
      <c r="M154" s="1252"/>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25">
      <c r="A155" s="17">
        <f t="shared" si="16"/>
        <v>140</v>
      </c>
      <c r="B155" s="1044"/>
      <c r="C155" s="1045"/>
      <c r="D155" s="38"/>
      <c r="E155" s="954"/>
      <c r="F155" s="53"/>
      <c r="G155" s="39"/>
      <c r="H155" s="1050"/>
      <c r="I155" s="684" t="str">
        <f t="shared" si="12"/>
        <v/>
      </c>
      <c r="J155" s="754">
        <f t="shared" si="13"/>
        <v>0</v>
      </c>
      <c r="K155" s="1251"/>
      <c r="L155" s="1252"/>
      <c r="M155" s="1252"/>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25">
      <c r="A156" s="17">
        <f t="shared" si="16"/>
        <v>141</v>
      </c>
      <c r="B156" s="1044"/>
      <c r="C156" s="1045"/>
      <c r="D156" s="38"/>
      <c r="E156" s="954"/>
      <c r="F156" s="53"/>
      <c r="G156" s="39"/>
      <c r="H156" s="1050"/>
      <c r="I156" s="684" t="str">
        <f t="shared" si="12"/>
        <v/>
      </c>
      <c r="J156" s="754">
        <f t="shared" si="13"/>
        <v>0</v>
      </c>
      <c r="K156" s="1251"/>
      <c r="L156" s="1252"/>
      <c r="M156" s="1252"/>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25">
      <c r="A157" s="17">
        <f t="shared" si="16"/>
        <v>142</v>
      </c>
      <c r="B157" s="1044"/>
      <c r="C157" s="1045"/>
      <c r="D157" s="38"/>
      <c r="E157" s="954"/>
      <c r="F157" s="53"/>
      <c r="G157" s="39"/>
      <c r="H157" s="1050"/>
      <c r="I157" s="684" t="str">
        <f t="shared" si="12"/>
        <v/>
      </c>
      <c r="J157" s="754">
        <f t="shared" si="13"/>
        <v>0</v>
      </c>
      <c r="K157" s="1251"/>
      <c r="L157" s="1252"/>
      <c r="M157" s="1252"/>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25">
      <c r="A158" s="17">
        <f t="shared" si="16"/>
        <v>143</v>
      </c>
      <c r="B158" s="1044"/>
      <c r="C158" s="1045"/>
      <c r="D158" s="38"/>
      <c r="E158" s="954"/>
      <c r="F158" s="53"/>
      <c r="G158" s="39"/>
      <c r="H158" s="1050"/>
      <c r="I158" s="684" t="str">
        <f t="shared" si="12"/>
        <v/>
      </c>
      <c r="J158" s="754">
        <f t="shared" si="13"/>
        <v>0</v>
      </c>
      <c r="K158" s="1251"/>
      <c r="L158" s="1252"/>
      <c r="M158" s="1252"/>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25">
      <c r="A159" s="17">
        <f t="shared" si="16"/>
        <v>144</v>
      </c>
      <c r="B159" s="1044"/>
      <c r="C159" s="1045"/>
      <c r="D159" s="38"/>
      <c r="E159" s="954"/>
      <c r="F159" s="53"/>
      <c r="G159" s="39"/>
      <c r="H159" s="1050"/>
      <c r="I159" s="684" t="str">
        <f t="shared" si="12"/>
        <v/>
      </c>
      <c r="J159" s="754">
        <f t="shared" si="13"/>
        <v>0</v>
      </c>
      <c r="K159" s="1251"/>
      <c r="L159" s="1252"/>
      <c r="M159" s="1252"/>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25">
      <c r="A160" s="17">
        <f t="shared" si="16"/>
        <v>145</v>
      </c>
      <c r="B160" s="1044"/>
      <c r="C160" s="1045"/>
      <c r="D160" s="38"/>
      <c r="E160" s="954"/>
      <c r="F160" s="53"/>
      <c r="G160" s="39"/>
      <c r="H160" s="1050"/>
      <c r="I160" s="684" t="str">
        <f t="shared" si="12"/>
        <v/>
      </c>
      <c r="J160" s="754">
        <f t="shared" si="13"/>
        <v>0</v>
      </c>
      <c r="K160" s="1251"/>
      <c r="L160" s="1252"/>
      <c r="M160" s="1252"/>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25">
      <c r="A161" s="17">
        <f t="shared" si="16"/>
        <v>146</v>
      </c>
      <c r="B161" s="1044"/>
      <c r="C161" s="1045"/>
      <c r="D161" s="38"/>
      <c r="E161" s="954"/>
      <c r="F161" s="53"/>
      <c r="G161" s="39"/>
      <c r="H161" s="1050"/>
      <c r="I161" s="684" t="str">
        <f t="shared" si="12"/>
        <v/>
      </c>
      <c r="J161" s="754">
        <f t="shared" si="13"/>
        <v>0</v>
      </c>
      <c r="K161" s="1251"/>
      <c r="L161" s="1252"/>
      <c r="M161" s="1252"/>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25">
      <c r="A162" s="17">
        <f t="shared" si="16"/>
        <v>147</v>
      </c>
      <c r="B162" s="1044"/>
      <c r="C162" s="1045"/>
      <c r="D162" s="38"/>
      <c r="E162" s="954"/>
      <c r="F162" s="53"/>
      <c r="G162" s="39"/>
      <c r="H162" s="1050"/>
      <c r="I162" s="684" t="str">
        <f t="shared" si="12"/>
        <v/>
      </c>
      <c r="J162" s="754">
        <f t="shared" si="13"/>
        <v>0</v>
      </c>
      <c r="K162" s="1251"/>
      <c r="L162" s="1252"/>
      <c r="M162" s="1252"/>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25">
      <c r="A163" s="17">
        <f t="shared" si="16"/>
        <v>148</v>
      </c>
      <c r="B163" s="1044"/>
      <c r="C163" s="1045"/>
      <c r="D163" s="38"/>
      <c r="E163" s="954"/>
      <c r="F163" s="53"/>
      <c r="G163" s="39"/>
      <c r="H163" s="1050"/>
      <c r="I163" s="684" t="str">
        <f t="shared" si="12"/>
        <v/>
      </c>
      <c r="J163" s="754">
        <f t="shared" si="13"/>
        <v>0</v>
      </c>
      <c r="K163" s="1251"/>
      <c r="L163" s="1252"/>
      <c r="M163" s="1252"/>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25">
      <c r="A164" s="17">
        <f t="shared" si="16"/>
        <v>149</v>
      </c>
      <c r="B164" s="1044"/>
      <c r="C164" s="1045"/>
      <c r="D164" s="38"/>
      <c r="E164" s="954"/>
      <c r="F164" s="53"/>
      <c r="G164" s="39"/>
      <c r="H164" s="1050"/>
      <c r="I164" s="684" t="str">
        <f t="shared" si="12"/>
        <v/>
      </c>
      <c r="J164" s="754">
        <f t="shared" si="13"/>
        <v>0</v>
      </c>
      <c r="K164" s="1251"/>
      <c r="L164" s="1252"/>
      <c r="M164" s="1252"/>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25">
      <c r="A165" s="17">
        <f t="shared" si="16"/>
        <v>150</v>
      </c>
      <c r="B165" s="1044"/>
      <c r="C165" s="1045"/>
      <c r="D165" s="38"/>
      <c r="E165" s="954"/>
      <c r="F165" s="53"/>
      <c r="G165" s="39"/>
      <c r="H165" s="1050"/>
      <c r="I165" s="684" t="str">
        <f t="shared" si="12"/>
        <v/>
      </c>
      <c r="J165" s="754">
        <f t="shared" si="13"/>
        <v>0</v>
      </c>
      <c r="K165" s="1251"/>
      <c r="L165" s="1252"/>
      <c r="M165" s="1252"/>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25">
      <c r="A166" s="17">
        <f t="shared" si="16"/>
        <v>151</v>
      </c>
      <c r="B166" s="1044"/>
      <c r="C166" s="1045"/>
      <c r="D166" s="38"/>
      <c r="E166" s="954"/>
      <c r="F166" s="53"/>
      <c r="G166" s="39"/>
      <c r="H166" s="1050"/>
      <c r="I166" s="684" t="str">
        <f t="shared" si="12"/>
        <v/>
      </c>
      <c r="J166" s="754">
        <f t="shared" si="13"/>
        <v>0</v>
      </c>
      <c r="K166" s="1251"/>
      <c r="L166" s="1252"/>
      <c r="M166" s="1252"/>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25">
      <c r="A167" s="17">
        <f t="shared" si="16"/>
        <v>152</v>
      </c>
      <c r="B167" s="1044"/>
      <c r="C167" s="1045"/>
      <c r="D167" s="38"/>
      <c r="E167" s="954"/>
      <c r="F167" s="53"/>
      <c r="G167" s="39"/>
      <c r="H167" s="1050"/>
      <c r="I167" s="684" t="str">
        <f t="shared" si="12"/>
        <v/>
      </c>
      <c r="J167" s="754">
        <f t="shared" si="13"/>
        <v>0</v>
      </c>
      <c r="K167" s="1251"/>
      <c r="L167" s="1252"/>
      <c r="M167" s="1252"/>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25">
      <c r="A168" s="17">
        <f t="shared" si="16"/>
        <v>153</v>
      </c>
      <c r="B168" s="1044"/>
      <c r="C168" s="1045"/>
      <c r="D168" s="38"/>
      <c r="E168" s="954"/>
      <c r="F168" s="53"/>
      <c r="G168" s="39"/>
      <c r="H168" s="1050"/>
      <c r="I168" s="684" t="str">
        <f t="shared" si="12"/>
        <v/>
      </c>
      <c r="J168" s="754">
        <f t="shared" si="13"/>
        <v>0</v>
      </c>
      <c r="K168" s="1251"/>
      <c r="L168" s="1252"/>
      <c r="M168" s="1252"/>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25">
      <c r="A169" s="17">
        <f t="shared" si="16"/>
        <v>154</v>
      </c>
      <c r="B169" s="1044"/>
      <c r="C169" s="1045"/>
      <c r="D169" s="38"/>
      <c r="E169" s="954"/>
      <c r="F169" s="53"/>
      <c r="G169" s="39"/>
      <c r="H169" s="1050"/>
      <c r="I169" s="684" t="str">
        <f t="shared" si="12"/>
        <v/>
      </c>
      <c r="J169" s="754">
        <f t="shared" si="13"/>
        <v>0</v>
      </c>
      <c r="K169" s="1251"/>
      <c r="L169" s="1252"/>
      <c r="M169" s="1252"/>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25">
      <c r="A170" s="17">
        <f t="shared" si="16"/>
        <v>155</v>
      </c>
      <c r="B170" s="1044"/>
      <c r="C170" s="1045"/>
      <c r="D170" s="38"/>
      <c r="E170" s="954"/>
      <c r="F170" s="53"/>
      <c r="G170" s="39"/>
      <c r="H170" s="1050"/>
      <c r="I170" s="684" t="str">
        <f t="shared" si="12"/>
        <v/>
      </c>
      <c r="J170" s="754">
        <f t="shared" si="13"/>
        <v>0</v>
      </c>
      <c r="K170" s="1251"/>
      <c r="L170" s="1252"/>
      <c r="M170" s="1252"/>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25">
      <c r="A171" s="17">
        <f t="shared" si="16"/>
        <v>156</v>
      </c>
      <c r="B171" s="1044"/>
      <c r="C171" s="1045"/>
      <c r="D171" s="38"/>
      <c r="E171" s="954"/>
      <c r="F171" s="53"/>
      <c r="G171" s="39"/>
      <c r="H171" s="1050"/>
      <c r="I171" s="684" t="str">
        <f t="shared" si="12"/>
        <v/>
      </c>
      <c r="J171" s="754">
        <f t="shared" si="13"/>
        <v>0</v>
      </c>
      <c r="K171" s="1251"/>
      <c r="L171" s="1252"/>
      <c r="M171" s="1252"/>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25">
      <c r="A172" s="17">
        <f t="shared" si="16"/>
        <v>157</v>
      </c>
      <c r="B172" s="1044"/>
      <c r="C172" s="1045"/>
      <c r="D172" s="38"/>
      <c r="E172" s="954"/>
      <c r="F172" s="53"/>
      <c r="G172" s="39"/>
      <c r="H172" s="1050"/>
      <c r="I172" s="684" t="str">
        <f t="shared" si="12"/>
        <v/>
      </c>
      <c r="J172" s="754">
        <f t="shared" si="13"/>
        <v>0</v>
      </c>
      <c r="K172" s="1251"/>
      <c r="L172" s="1252"/>
      <c r="M172" s="1252"/>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25">
      <c r="A173" s="17">
        <f t="shared" si="16"/>
        <v>158</v>
      </c>
      <c r="B173" s="1044"/>
      <c r="C173" s="1045"/>
      <c r="D173" s="38"/>
      <c r="E173" s="954"/>
      <c r="F173" s="53"/>
      <c r="G173" s="39"/>
      <c r="H173" s="1050"/>
      <c r="I173" s="684" t="str">
        <f t="shared" si="12"/>
        <v/>
      </c>
      <c r="J173" s="754">
        <f t="shared" si="13"/>
        <v>0</v>
      </c>
      <c r="K173" s="1251"/>
      <c r="L173" s="1252"/>
      <c r="M173" s="1252"/>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25">
      <c r="A174" s="17">
        <f t="shared" si="16"/>
        <v>159</v>
      </c>
      <c r="B174" s="1044"/>
      <c r="C174" s="1045"/>
      <c r="D174" s="38"/>
      <c r="E174" s="954"/>
      <c r="F174" s="53"/>
      <c r="G174" s="39"/>
      <c r="H174" s="1050"/>
      <c r="I174" s="684" t="str">
        <f t="shared" si="12"/>
        <v/>
      </c>
      <c r="J174" s="754">
        <f t="shared" si="13"/>
        <v>0</v>
      </c>
      <c r="K174" s="1251"/>
      <c r="L174" s="1252"/>
      <c r="M174" s="1252"/>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25">
      <c r="A175" s="17">
        <f t="shared" si="16"/>
        <v>160</v>
      </c>
      <c r="B175" s="1044"/>
      <c r="C175" s="1045"/>
      <c r="D175" s="38"/>
      <c r="E175" s="954"/>
      <c r="F175" s="53"/>
      <c r="G175" s="39"/>
      <c r="H175" s="1050"/>
      <c r="I175" s="684" t="str">
        <f t="shared" si="12"/>
        <v/>
      </c>
      <c r="J175" s="754">
        <f t="shared" si="13"/>
        <v>0</v>
      </c>
      <c r="K175" s="1251"/>
      <c r="L175" s="1252"/>
      <c r="M175" s="1252"/>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25">
      <c r="A176" s="17">
        <f t="shared" si="16"/>
        <v>161</v>
      </c>
      <c r="B176" s="1044"/>
      <c r="C176" s="1045"/>
      <c r="D176" s="38"/>
      <c r="E176" s="954"/>
      <c r="F176" s="53"/>
      <c r="G176" s="39"/>
      <c r="H176" s="1050"/>
      <c r="I176" s="684" t="str">
        <f t="shared" si="12"/>
        <v/>
      </c>
      <c r="J176" s="754">
        <f t="shared" si="13"/>
        <v>0</v>
      </c>
      <c r="K176" s="1251"/>
      <c r="L176" s="1252"/>
      <c r="M176" s="1252"/>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25">
      <c r="A177" s="17">
        <f t="shared" si="16"/>
        <v>162</v>
      </c>
      <c r="B177" s="1044"/>
      <c r="C177" s="1045"/>
      <c r="D177" s="38"/>
      <c r="E177" s="954"/>
      <c r="F177" s="53"/>
      <c r="G177" s="39"/>
      <c r="H177" s="1050"/>
      <c r="I177" s="684" t="str">
        <f t="shared" si="12"/>
        <v/>
      </c>
      <c r="J177" s="754">
        <f t="shared" si="13"/>
        <v>0</v>
      </c>
      <c r="K177" s="1251"/>
      <c r="L177" s="1252"/>
      <c r="M177" s="1252"/>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25">
      <c r="A178" s="17">
        <f t="shared" si="16"/>
        <v>163</v>
      </c>
      <c r="B178" s="1044"/>
      <c r="C178" s="1045"/>
      <c r="D178" s="38"/>
      <c r="E178" s="954"/>
      <c r="F178" s="53"/>
      <c r="G178" s="39"/>
      <c r="H178" s="1050"/>
      <c r="I178" s="684" t="str">
        <f t="shared" si="12"/>
        <v/>
      </c>
      <c r="J178" s="754">
        <f t="shared" si="13"/>
        <v>0</v>
      </c>
      <c r="K178" s="1251"/>
      <c r="L178" s="1252"/>
      <c r="M178" s="1252"/>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25">
      <c r="A179" s="17">
        <f t="shared" si="16"/>
        <v>164</v>
      </c>
      <c r="B179" s="1044"/>
      <c r="C179" s="1045"/>
      <c r="D179" s="38"/>
      <c r="E179" s="954"/>
      <c r="F179" s="53"/>
      <c r="G179" s="39"/>
      <c r="H179" s="1050"/>
      <c r="I179" s="684" t="str">
        <f t="shared" si="12"/>
        <v/>
      </c>
      <c r="J179" s="754">
        <f t="shared" si="13"/>
        <v>0</v>
      </c>
      <c r="K179" s="1251"/>
      <c r="L179" s="1252"/>
      <c r="M179" s="1252"/>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25">
      <c r="A180" s="17">
        <f t="shared" si="16"/>
        <v>165</v>
      </c>
      <c r="B180" s="1044"/>
      <c r="C180" s="1045"/>
      <c r="D180" s="38"/>
      <c r="E180" s="954"/>
      <c r="F180" s="53"/>
      <c r="G180" s="39"/>
      <c r="H180" s="1050"/>
      <c r="I180" s="684" t="str">
        <f t="shared" si="12"/>
        <v/>
      </c>
      <c r="J180" s="754">
        <f t="shared" si="13"/>
        <v>0</v>
      </c>
      <c r="K180" s="1251"/>
      <c r="L180" s="1252"/>
      <c r="M180" s="1252"/>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25">
      <c r="A181" s="17">
        <f t="shared" si="16"/>
        <v>166</v>
      </c>
      <c r="B181" s="1044"/>
      <c r="C181" s="1045"/>
      <c r="D181" s="38"/>
      <c r="E181" s="954"/>
      <c r="F181" s="53"/>
      <c r="G181" s="39"/>
      <c r="H181" s="1050"/>
      <c r="I181" s="684" t="str">
        <f t="shared" si="12"/>
        <v/>
      </c>
      <c r="J181" s="754">
        <f t="shared" si="13"/>
        <v>0</v>
      </c>
      <c r="K181" s="1251"/>
      <c r="L181" s="1252"/>
      <c r="M181" s="1252"/>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25">
      <c r="A182" s="17">
        <f t="shared" si="16"/>
        <v>167</v>
      </c>
      <c r="B182" s="1044"/>
      <c r="C182" s="1045"/>
      <c r="D182" s="38"/>
      <c r="E182" s="954"/>
      <c r="F182" s="53"/>
      <c r="G182" s="39"/>
      <c r="H182" s="1050"/>
      <c r="I182" s="684" t="str">
        <f t="shared" si="12"/>
        <v/>
      </c>
      <c r="J182" s="754">
        <f t="shared" si="13"/>
        <v>0</v>
      </c>
      <c r="K182" s="1251"/>
      <c r="L182" s="1252"/>
      <c r="M182" s="1252"/>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25">
      <c r="A183" s="17">
        <f t="shared" si="16"/>
        <v>168</v>
      </c>
      <c r="B183" s="1044"/>
      <c r="C183" s="1045"/>
      <c r="D183" s="38"/>
      <c r="E183" s="954"/>
      <c r="F183" s="53"/>
      <c r="G183" s="39"/>
      <c r="H183" s="1050"/>
      <c r="I183" s="684" t="str">
        <f t="shared" si="12"/>
        <v/>
      </c>
      <c r="J183" s="754">
        <f t="shared" si="13"/>
        <v>0</v>
      </c>
      <c r="K183" s="1251"/>
      <c r="L183" s="1252"/>
      <c r="M183" s="1252"/>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25">
      <c r="A184" s="17">
        <f t="shared" si="16"/>
        <v>169</v>
      </c>
      <c r="B184" s="1044"/>
      <c r="C184" s="1045"/>
      <c r="D184" s="38"/>
      <c r="E184" s="954"/>
      <c r="F184" s="53"/>
      <c r="G184" s="39"/>
      <c r="H184" s="1050"/>
      <c r="I184" s="684" t="str">
        <f t="shared" si="12"/>
        <v/>
      </c>
      <c r="J184" s="754">
        <f t="shared" si="13"/>
        <v>0</v>
      </c>
      <c r="K184" s="1251"/>
      <c r="L184" s="1252"/>
      <c r="M184" s="1252"/>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25">
      <c r="A185" s="17">
        <f t="shared" si="16"/>
        <v>170</v>
      </c>
      <c r="B185" s="1044"/>
      <c r="C185" s="1045"/>
      <c r="D185" s="38"/>
      <c r="E185" s="954"/>
      <c r="F185" s="53"/>
      <c r="G185" s="39"/>
      <c r="H185" s="1050"/>
      <c r="I185" s="684" t="str">
        <f t="shared" si="12"/>
        <v/>
      </c>
      <c r="J185" s="754">
        <f t="shared" si="13"/>
        <v>0</v>
      </c>
      <c r="K185" s="1251"/>
      <c r="L185" s="1252"/>
      <c r="M185" s="1252"/>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25">
      <c r="A186" s="17">
        <f t="shared" si="16"/>
        <v>171</v>
      </c>
      <c r="B186" s="1044"/>
      <c r="C186" s="1045"/>
      <c r="D186" s="38"/>
      <c r="E186" s="954"/>
      <c r="F186" s="53"/>
      <c r="G186" s="39"/>
      <c r="H186" s="1050"/>
      <c r="I186" s="684" t="str">
        <f t="shared" si="12"/>
        <v/>
      </c>
      <c r="J186" s="754">
        <f t="shared" si="13"/>
        <v>0</v>
      </c>
      <c r="K186" s="1251"/>
      <c r="L186" s="1252"/>
      <c r="M186" s="1252"/>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25">
      <c r="A187" s="17">
        <f t="shared" si="16"/>
        <v>172</v>
      </c>
      <c r="B187" s="1044"/>
      <c r="C187" s="1045"/>
      <c r="D187" s="38"/>
      <c r="E187" s="954"/>
      <c r="F187" s="53"/>
      <c r="G187" s="39"/>
      <c r="H187" s="1050"/>
      <c r="I187" s="684" t="str">
        <f t="shared" si="12"/>
        <v/>
      </c>
      <c r="J187" s="754">
        <f t="shared" si="13"/>
        <v>0</v>
      </c>
      <c r="K187" s="1251"/>
      <c r="L187" s="1252"/>
      <c r="M187" s="1252"/>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25">
      <c r="A188" s="17">
        <f t="shared" si="16"/>
        <v>173</v>
      </c>
      <c r="B188" s="1044"/>
      <c r="C188" s="1045"/>
      <c r="D188" s="38"/>
      <c r="E188" s="954"/>
      <c r="F188" s="53"/>
      <c r="G188" s="39"/>
      <c r="H188" s="1050"/>
      <c r="I188" s="684" t="str">
        <f t="shared" si="12"/>
        <v/>
      </c>
      <c r="J188" s="754">
        <f t="shared" si="13"/>
        <v>0</v>
      </c>
      <c r="K188" s="1251"/>
      <c r="L188" s="1252"/>
      <c r="M188" s="1252"/>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25">
      <c r="A189" s="17">
        <f t="shared" si="16"/>
        <v>174</v>
      </c>
      <c r="B189" s="1044"/>
      <c r="C189" s="1045"/>
      <c r="D189" s="38"/>
      <c r="E189" s="954"/>
      <c r="F189" s="53"/>
      <c r="G189" s="39"/>
      <c r="H189" s="1050"/>
      <c r="I189" s="684" t="str">
        <f t="shared" si="12"/>
        <v/>
      </c>
      <c r="J189" s="754">
        <f t="shared" si="13"/>
        <v>0</v>
      </c>
      <c r="K189" s="1251"/>
      <c r="L189" s="1252"/>
      <c r="M189" s="1252"/>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25">
      <c r="A190" s="17">
        <f t="shared" si="16"/>
        <v>175</v>
      </c>
      <c r="B190" s="1044"/>
      <c r="C190" s="1045"/>
      <c r="D190" s="38"/>
      <c r="E190" s="954"/>
      <c r="F190" s="53"/>
      <c r="G190" s="39"/>
      <c r="H190" s="1050"/>
      <c r="I190" s="684" t="str">
        <f t="shared" si="12"/>
        <v/>
      </c>
      <c r="J190" s="754">
        <f t="shared" si="13"/>
        <v>0</v>
      </c>
      <c r="K190" s="1251"/>
      <c r="L190" s="1252"/>
      <c r="M190" s="1252"/>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25">
      <c r="A191" s="17">
        <f t="shared" si="16"/>
        <v>176</v>
      </c>
      <c r="B191" s="1044"/>
      <c r="C191" s="1045"/>
      <c r="D191" s="38"/>
      <c r="E191" s="954"/>
      <c r="F191" s="53"/>
      <c r="G191" s="39"/>
      <c r="H191" s="1050"/>
      <c r="I191" s="684" t="str">
        <f t="shared" si="12"/>
        <v/>
      </c>
      <c r="J191" s="754">
        <f t="shared" si="13"/>
        <v>0</v>
      </c>
      <c r="K191" s="1251"/>
      <c r="L191" s="1252"/>
      <c r="M191" s="1252"/>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25">
      <c r="A192" s="17">
        <f t="shared" si="16"/>
        <v>177</v>
      </c>
      <c r="B192" s="1044"/>
      <c r="C192" s="1045"/>
      <c r="D192" s="38"/>
      <c r="E192" s="954"/>
      <c r="F192" s="53"/>
      <c r="G192" s="39"/>
      <c r="H192" s="1050"/>
      <c r="I192" s="684" t="str">
        <f t="shared" si="12"/>
        <v/>
      </c>
      <c r="J192" s="754">
        <f t="shared" si="13"/>
        <v>0</v>
      </c>
      <c r="K192" s="1251"/>
      <c r="L192" s="1252"/>
      <c r="M192" s="1252"/>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25">
      <c r="A193" s="17">
        <f t="shared" si="16"/>
        <v>178</v>
      </c>
      <c r="B193" s="1044"/>
      <c r="C193" s="1045"/>
      <c r="D193" s="38"/>
      <c r="E193" s="954"/>
      <c r="F193" s="53"/>
      <c r="G193" s="39"/>
      <c r="H193" s="1050"/>
      <c r="I193" s="684" t="str">
        <f t="shared" si="12"/>
        <v/>
      </c>
      <c r="J193" s="754">
        <f t="shared" si="13"/>
        <v>0</v>
      </c>
      <c r="K193" s="1251"/>
      <c r="L193" s="1252"/>
      <c r="M193" s="1252"/>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25">
      <c r="A194" s="17">
        <f t="shared" si="16"/>
        <v>179</v>
      </c>
      <c r="B194" s="1044"/>
      <c r="C194" s="1045"/>
      <c r="D194" s="38"/>
      <c r="E194" s="954"/>
      <c r="F194" s="53"/>
      <c r="G194" s="39"/>
      <c r="H194" s="1050"/>
      <c r="I194" s="684" t="str">
        <f t="shared" si="12"/>
        <v/>
      </c>
      <c r="J194" s="754">
        <f t="shared" si="13"/>
        <v>0</v>
      </c>
      <c r="K194" s="1251"/>
      <c r="L194" s="1252"/>
      <c r="M194" s="1252"/>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25">
      <c r="A195" s="17">
        <f t="shared" si="16"/>
        <v>180</v>
      </c>
      <c r="B195" s="1044"/>
      <c r="C195" s="1045"/>
      <c r="D195" s="38"/>
      <c r="E195" s="954"/>
      <c r="F195" s="53"/>
      <c r="G195" s="39"/>
      <c r="H195" s="1050"/>
      <c r="I195" s="684" t="str">
        <f t="shared" si="12"/>
        <v/>
      </c>
      <c r="J195" s="754">
        <f t="shared" si="13"/>
        <v>0</v>
      </c>
      <c r="K195" s="1251"/>
      <c r="L195" s="1252"/>
      <c r="M195" s="1252"/>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25">
      <c r="A196" s="17">
        <f t="shared" si="16"/>
        <v>181</v>
      </c>
      <c r="B196" s="1044"/>
      <c r="C196" s="1045"/>
      <c r="D196" s="38"/>
      <c r="E196" s="954"/>
      <c r="F196" s="53"/>
      <c r="G196" s="39"/>
      <c r="H196" s="1050"/>
      <c r="I196" s="684" t="str">
        <f t="shared" si="12"/>
        <v/>
      </c>
      <c r="J196" s="754">
        <f t="shared" si="13"/>
        <v>0</v>
      </c>
      <c r="K196" s="1251"/>
      <c r="L196" s="1252"/>
      <c r="M196" s="1252"/>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25">
      <c r="A197" s="17">
        <f t="shared" si="16"/>
        <v>182</v>
      </c>
      <c r="B197" s="1044"/>
      <c r="C197" s="1045"/>
      <c r="D197" s="38"/>
      <c r="E197" s="954"/>
      <c r="F197" s="53"/>
      <c r="G197" s="39"/>
      <c r="H197" s="1050"/>
      <c r="I197" s="684" t="str">
        <f t="shared" si="12"/>
        <v/>
      </c>
      <c r="J197" s="754">
        <f t="shared" si="13"/>
        <v>0</v>
      </c>
      <c r="K197" s="1251"/>
      <c r="L197" s="1252"/>
      <c r="M197" s="1252"/>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25">
      <c r="A198" s="17">
        <f t="shared" si="16"/>
        <v>183</v>
      </c>
      <c r="B198" s="1044"/>
      <c r="C198" s="1045"/>
      <c r="D198" s="38"/>
      <c r="E198" s="954"/>
      <c r="F198" s="53"/>
      <c r="G198" s="39"/>
      <c r="H198" s="1050"/>
      <c r="I198" s="684" t="str">
        <f t="shared" si="12"/>
        <v/>
      </c>
      <c r="J198" s="754">
        <f t="shared" si="13"/>
        <v>0</v>
      </c>
      <c r="K198" s="1251"/>
      <c r="L198" s="1252"/>
      <c r="M198" s="1252"/>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25">
      <c r="A199" s="17">
        <f t="shared" si="16"/>
        <v>184</v>
      </c>
      <c r="B199" s="1044"/>
      <c r="C199" s="1045"/>
      <c r="D199" s="38"/>
      <c r="E199" s="954"/>
      <c r="F199" s="53"/>
      <c r="G199" s="39"/>
      <c r="H199" s="1050"/>
      <c r="I199" s="684" t="str">
        <f t="shared" si="12"/>
        <v/>
      </c>
      <c r="J199" s="754">
        <f t="shared" si="13"/>
        <v>0</v>
      </c>
      <c r="K199" s="1251"/>
      <c r="L199" s="1252"/>
      <c r="M199" s="1252"/>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25">
      <c r="A200" s="17">
        <f t="shared" si="16"/>
        <v>185</v>
      </c>
      <c r="B200" s="1044"/>
      <c r="C200" s="1045"/>
      <c r="D200" s="38"/>
      <c r="E200" s="954"/>
      <c r="F200" s="53"/>
      <c r="G200" s="39"/>
      <c r="H200" s="1050"/>
      <c r="I200" s="684" t="str">
        <f t="shared" si="12"/>
        <v/>
      </c>
      <c r="J200" s="754">
        <f t="shared" si="13"/>
        <v>0</v>
      </c>
      <c r="K200" s="1251"/>
      <c r="L200" s="1252"/>
      <c r="M200" s="1252"/>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25">
      <c r="A201" s="17">
        <f t="shared" si="16"/>
        <v>186</v>
      </c>
      <c r="B201" s="1044"/>
      <c r="C201" s="1045"/>
      <c r="D201" s="38"/>
      <c r="E201" s="954"/>
      <c r="F201" s="53"/>
      <c r="G201" s="39"/>
      <c r="H201" s="1050"/>
      <c r="I201" s="684" t="str">
        <f t="shared" si="12"/>
        <v/>
      </c>
      <c r="J201" s="754">
        <f t="shared" si="13"/>
        <v>0</v>
      </c>
      <c r="K201" s="1251"/>
      <c r="L201" s="1252"/>
      <c r="M201" s="1252"/>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25">
      <c r="A202" s="17">
        <f t="shared" si="16"/>
        <v>187</v>
      </c>
      <c r="B202" s="1044"/>
      <c r="C202" s="1045"/>
      <c r="D202" s="38"/>
      <c r="E202" s="954"/>
      <c r="F202" s="53"/>
      <c r="G202" s="39"/>
      <c r="H202" s="1050"/>
      <c r="I202" s="684" t="str">
        <f t="shared" si="12"/>
        <v/>
      </c>
      <c r="J202" s="754">
        <f t="shared" si="13"/>
        <v>0</v>
      </c>
      <c r="K202" s="1251"/>
      <c r="L202" s="1252"/>
      <c r="M202" s="1252"/>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25">
      <c r="A203" s="17">
        <f t="shared" si="16"/>
        <v>188</v>
      </c>
      <c r="B203" s="1044"/>
      <c r="C203" s="1045"/>
      <c r="D203" s="38"/>
      <c r="E203" s="954"/>
      <c r="F203" s="53"/>
      <c r="G203" s="39"/>
      <c r="H203" s="1050"/>
      <c r="I203" s="684" t="str">
        <f t="shared" si="12"/>
        <v/>
      </c>
      <c r="J203" s="754">
        <f t="shared" si="13"/>
        <v>0</v>
      </c>
      <c r="K203" s="1251"/>
      <c r="L203" s="1252"/>
      <c r="M203" s="1252"/>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25">
      <c r="A204" s="17">
        <f t="shared" si="16"/>
        <v>189</v>
      </c>
      <c r="B204" s="1044"/>
      <c r="C204" s="1045"/>
      <c r="D204" s="38"/>
      <c r="E204" s="954"/>
      <c r="F204" s="53"/>
      <c r="G204" s="39"/>
      <c r="H204" s="1050"/>
      <c r="I204" s="684" t="str">
        <f t="shared" si="12"/>
        <v/>
      </c>
      <c r="J204" s="754">
        <f t="shared" si="13"/>
        <v>0</v>
      </c>
      <c r="K204" s="1251"/>
      <c r="L204" s="1252"/>
      <c r="M204" s="1252"/>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25">
      <c r="A205" s="17">
        <f t="shared" si="16"/>
        <v>190</v>
      </c>
      <c r="B205" s="1044"/>
      <c r="C205" s="1045"/>
      <c r="D205" s="38"/>
      <c r="E205" s="954"/>
      <c r="F205" s="53"/>
      <c r="G205" s="39"/>
      <c r="H205" s="1050"/>
      <c r="I205" s="684" t="str">
        <f t="shared" si="12"/>
        <v/>
      </c>
      <c r="J205" s="754">
        <f t="shared" si="13"/>
        <v>0</v>
      </c>
      <c r="K205" s="1251"/>
      <c r="L205" s="1252"/>
      <c r="M205" s="1252"/>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25">
      <c r="A206" s="17">
        <f t="shared" si="16"/>
        <v>191</v>
      </c>
      <c r="B206" s="1044"/>
      <c r="C206" s="1045"/>
      <c r="D206" s="38"/>
      <c r="E206" s="954"/>
      <c r="F206" s="53"/>
      <c r="G206" s="39"/>
      <c r="H206" s="1050"/>
      <c r="I206" s="684" t="str">
        <f t="shared" si="12"/>
        <v/>
      </c>
      <c r="J206" s="754">
        <f t="shared" si="13"/>
        <v>0</v>
      </c>
      <c r="K206" s="1251"/>
      <c r="L206" s="1252"/>
      <c r="M206" s="1252"/>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25">
      <c r="A207" s="17">
        <f t="shared" si="16"/>
        <v>192</v>
      </c>
      <c r="B207" s="1044"/>
      <c r="C207" s="1045"/>
      <c r="D207" s="38"/>
      <c r="E207" s="954"/>
      <c r="F207" s="53"/>
      <c r="G207" s="39"/>
      <c r="H207" s="1050"/>
      <c r="I207" s="684" t="str">
        <f t="shared" si="12"/>
        <v/>
      </c>
      <c r="J207" s="754">
        <f t="shared" si="13"/>
        <v>0</v>
      </c>
      <c r="K207" s="1251"/>
      <c r="L207" s="1252"/>
      <c r="M207" s="1252"/>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25">
      <c r="A208" s="17">
        <f t="shared" si="16"/>
        <v>193</v>
      </c>
      <c r="B208" s="1044"/>
      <c r="C208" s="1045"/>
      <c r="D208" s="38"/>
      <c r="E208" s="954"/>
      <c r="F208" s="53"/>
      <c r="G208" s="39"/>
      <c r="H208" s="1050"/>
      <c r="I208" s="684" t="str">
        <f t="shared" ref="I208:I271" si="18">LEFT(H208,4)</f>
        <v/>
      </c>
      <c r="J208" s="754">
        <f t="shared" ref="J208:J271" si="19">G208-BP208</f>
        <v>0</v>
      </c>
      <c r="K208" s="1251"/>
      <c r="L208" s="1252"/>
      <c r="M208" s="1252"/>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25">
      <c r="A209" s="17">
        <f t="shared" ref="A209:A272" si="22">$A208+1</f>
        <v>194</v>
      </c>
      <c r="B209" s="1044"/>
      <c r="C209" s="1045"/>
      <c r="D209" s="38"/>
      <c r="E209" s="954"/>
      <c r="F209" s="53"/>
      <c r="G209" s="39"/>
      <c r="H209" s="1050"/>
      <c r="I209" s="684" t="str">
        <f t="shared" si="18"/>
        <v/>
      </c>
      <c r="J209" s="754">
        <f t="shared" si="19"/>
        <v>0</v>
      </c>
      <c r="K209" s="1251"/>
      <c r="L209" s="1252"/>
      <c r="M209" s="1252"/>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25">
      <c r="A210" s="17">
        <f t="shared" si="22"/>
        <v>195</v>
      </c>
      <c r="B210" s="1044"/>
      <c r="C210" s="1045"/>
      <c r="D210" s="38"/>
      <c r="E210" s="954"/>
      <c r="F210" s="53"/>
      <c r="G210" s="39"/>
      <c r="H210" s="1050"/>
      <c r="I210" s="684" t="str">
        <f t="shared" si="18"/>
        <v/>
      </c>
      <c r="J210" s="754">
        <f t="shared" si="19"/>
        <v>0</v>
      </c>
      <c r="K210" s="1251"/>
      <c r="L210" s="1252"/>
      <c r="M210" s="1252"/>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25">
      <c r="A211" s="17">
        <f t="shared" si="22"/>
        <v>196</v>
      </c>
      <c r="B211" s="1044"/>
      <c r="C211" s="1045"/>
      <c r="D211" s="38"/>
      <c r="E211" s="954"/>
      <c r="F211" s="53"/>
      <c r="G211" s="39"/>
      <c r="H211" s="1050"/>
      <c r="I211" s="684" t="str">
        <f t="shared" si="18"/>
        <v/>
      </c>
      <c r="J211" s="754">
        <f t="shared" si="19"/>
        <v>0</v>
      </c>
      <c r="K211" s="1251"/>
      <c r="L211" s="1252"/>
      <c r="M211" s="1252"/>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25">
      <c r="A212" s="17">
        <f t="shared" si="22"/>
        <v>197</v>
      </c>
      <c r="B212" s="1044"/>
      <c r="C212" s="1045"/>
      <c r="D212" s="38"/>
      <c r="E212" s="954"/>
      <c r="F212" s="53"/>
      <c r="G212" s="39"/>
      <c r="H212" s="1050"/>
      <c r="I212" s="684" t="str">
        <f t="shared" si="18"/>
        <v/>
      </c>
      <c r="J212" s="754">
        <f t="shared" si="19"/>
        <v>0</v>
      </c>
      <c r="K212" s="1251"/>
      <c r="L212" s="1252"/>
      <c r="M212" s="1252"/>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25">
      <c r="A213" s="17">
        <f t="shared" si="22"/>
        <v>198</v>
      </c>
      <c r="B213" s="1044"/>
      <c r="C213" s="1045"/>
      <c r="D213" s="38"/>
      <c r="E213" s="954"/>
      <c r="F213" s="53"/>
      <c r="G213" s="39"/>
      <c r="H213" s="1050"/>
      <c r="I213" s="684" t="str">
        <f t="shared" si="18"/>
        <v/>
      </c>
      <c r="J213" s="754">
        <f t="shared" si="19"/>
        <v>0</v>
      </c>
      <c r="K213" s="1251"/>
      <c r="L213" s="1252"/>
      <c r="M213" s="1252"/>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25">
      <c r="A214" s="17">
        <f t="shared" si="22"/>
        <v>199</v>
      </c>
      <c r="B214" s="1044"/>
      <c r="C214" s="1045"/>
      <c r="D214" s="38"/>
      <c r="E214" s="954"/>
      <c r="F214" s="53"/>
      <c r="G214" s="39"/>
      <c r="H214" s="1050"/>
      <c r="I214" s="684" t="str">
        <f t="shared" si="18"/>
        <v/>
      </c>
      <c r="J214" s="754">
        <f t="shared" si="19"/>
        <v>0</v>
      </c>
      <c r="K214" s="1251"/>
      <c r="L214" s="1252"/>
      <c r="M214" s="1252"/>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25">
      <c r="A215" s="17">
        <f t="shared" si="22"/>
        <v>200</v>
      </c>
      <c r="B215" s="1044"/>
      <c r="C215" s="1045"/>
      <c r="D215" s="38"/>
      <c r="E215" s="954"/>
      <c r="F215" s="53"/>
      <c r="G215" s="39"/>
      <c r="H215" s="1050"/>
      <c r="I215" s="684" t="str">
        <f t="shared" si="18"/>
        <v/>
      </c>
      <c r="J215" s="754">
        <f t="shared" si="19"/>
        <v>0</v>
      </c>
      <c r="K215" s="1256"/>
      <c r="L215" s="1255"/>
      <c r="M215" s="1255"/>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25">
      <c r="A216" s="17">
        <f t="shared" si="22"/>
        <v>201</v>
      </c>
      <c r="B216" s="1044"/>
      <c r="C216" s="1045"/>
      <c r="D216" s="38"/>
      <c r="E216" s="954"/>
      <c r="F216" s="53"/>
      <c r="G216" s="39"/>
      <c r="H216" s="1050"/>
      <c r="I216" s="684" t="str">
        <f t="shared" si="18"/>
        <v/>
      </c>
      <c r="J216" s="754">
        <f t="shared" si="19"/>
        <v>0</v>
      </c>
      <c r="K216" s="1256"/>
      <c r="L216" s="1255"/>
      <c r="M216" s="1255"/>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25">
      <c r="A217" s="17">
        <f t="shared" si="22"/>
        <v>202</v>
      </c>
      <c r="B217" s="1044"/>
      <c r="C217" s="1045"/>
      <c r="D217" s="38"/>
      <c r="E217" s="954"/>
      <c r="F217" s="53"/>
      <c r="G217" s="39"/>
      <c r="H217" s="1050"/>
      <c r="I217" s="684" t="str">
        <f t="shared" si="18"/>
        <v/>
      </c>
      <c r="J217" s="754">
        <f t="shared" si="19"/>
        <v>0</v>
      </c>
      <c r="K217" s="1256"/>
      <c r="L217" s="1255"/>
      <c r="M217" s="1255"/>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25">
      <c r="A218" s="17">
        <f t="shared" si="22"/>
        <v>203</v>
      </c>
      <c r="B218" s="1044"/>
      <c r="C218" s="1045"/>
      <c r="D218" s="38"/>
      <c r="E218" s="954"/>
      <c r="F218" s="53"/>
      <c r="G218" s="39"/>
      <c r="H218" s="1050"/>
      <c r="I218" s="684" t="str">
        <f t="shared" si="18"/>
        <v/>
      </c>
      <c r="J218" s="754">
        <f t="shared" si="19"/>
        <v>0</v>
      </c>
      <c r="K218" s="1256"/>
      <c r="L218" s="1255"/>
      <c r="M218" s="1255"/>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25">
      <c r="A219" s="17">
        <f t="shared" si="22"/>
        <v>204</v>
      </c>
      <c r="B219" s="1044"/>
      <c r="C219" s="1045"/>
      <c r="D219" s="38"/>
      <c r="E219" s="954"/>
      <c r="F219" s="53"/>
      <c r="G219" s="39"/>
      <c r="H219" s="1050"/>
      <c r="I219" s="684" t="str">
        <f t="shared" si="18"/>
        <v/>
      </c>
      <c r="J219" s="754">
        <f t="shared" si="19"/>
        <v>0</v>
      </c>
      <c r="K219" s="1256"/>
      <c r="L219" s="1255"/>
      <c r="M219" s="1255"/>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25">
      <c r="A220" s="17">
        <f t="shared" si="22"/>
        <v>205</v>
      </c>
      <c r="B220" s="1044"/>
      <c r="C220" s="1045"/>
      <c r="D220" s="38"/>
      <c r="E220" s="954"/>
      <c r="F220" s="53"/>
      <c r="G220" s="39"/>
      <c r="H220" s="1050"/>
      <c r="I220" s="684" t="str">
        <f t="shared" si="18"/>
        <v/>
      </c>
      <c r="J220" s="754">
        <f t="shared" si="19"/>
        <v>0</v>
      </c>
      <c r="K220" s="1256"/>
      <c r="L220" s="1255"/>
      <c r="M220" s="1255"/>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25">
      <c r="A221" s="17">
        <f t="shared" si="22"/>
        <v>206</v>
      </c>
      <c r="B221" s="1044"/>
      <c r="C221" s="1045"/>
      <c r="D221" s="38"/>
      <c r="E221" s="954"/>
      <c r="F221" s="53"/>
      <c r="G221" s="39"/>
      <c r="H221" s="1050"/>
      <c r="I221" s="684" t="str">
        <f t="shared" si="18"/>
        <v/>
      </c>
      <c r="J221" s="754">
        <f t="shared" si="19"/>
        <v>0</v>
      </c>
      <c r="K221" s="1256"/>
      <c r="L221" s="1255"/>
      <c r="M221" s="1255"/>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25">
      <c r="A222" s="17">
        <f t="shared" si="22"/>
        <v>207</v>
      </c>
      <c r="B222" s="1044"/>
      <c r="C222" s="1045"/>
      <c r="D222" s="38"/>
      <c r="E222" s="954"/>
      <c r="F222" s="53"/>
      <c r="G222" s="39"/>
      <c r="H222" s="1050"/>
      <c r="I222" s="684" t="str">
        <f t="shared" si="18"/>
        <v/>
      </c>
      <c r="J222" s="754">
        <f t="shared" si="19"/>
        <v>0</v>
      </c>
      <c r="K222" s="1256"/>
      <c r="L222" s="1255"/>
      <c r="M222" s="1255"/>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25">
      <c r="A223" s="17">
        <f t="shared" si="22"/>
        <v>208</v>
      </c>
      <c r="B223" s="1044"/>
      <c r="C223" s="1045"/>
      <c r="D223" s="38"/>
      <c r="E223" s="954"/>
      <c r="F223" s="53"/>
      <c r="G223" s="39"/>
      <c r="H223" s="1050"/>
      <c r="I223" s="684" t="str">
        <f t="shared" si="18"/>
        <v/>
      </c>
      <c r="J223" s="754">
        <f t="shared" si="19"/>
        <v>0</v>
      </c>
      <c r="K223" s="1256"/>
      <c r="L223" s="1255"/>
      <c r="M223" s="1255"/>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25">
      <c r="A224" s="17">
        <f t="shared" si="22"/>
        <v>209</v>
      </c>
      <c r="B224" s="1044"/>
      <c r="C224" s="1045"/>
      <c r="D224" s="38"/>
      <c r="E224" s="954"/>
      <c r="F224" s="53"/>
      <c r="G224" s="39"/>
      <c r="H224" s="1050"/>
      <c r="I224" s="684" t="str">
        <f t="shared" si="18"/>
        <v/>
      </c>
      <c r="J224" s="754">
        <f t="shared" si="19"/>
        <v>0</v>
      </c>
      <c r="K224" s="1256"/>
      <c r="L224" s="1255"/>
      <c r="M224" s="1255"/>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25">
      <c r="A225" s="17">
        <f t="shared" si="22"/>
        <v>210</v>
      </c>
      <c r="B225" s="1044"/>
      <c r="C225" s="1045"/>
      <c r="D225" s="38"/>
      <c r="E225" s="954"/>
      <c r="F225" s="53"/>
      <c r="G225" s="39"/>
      <c r="H225" s="1050"/>
      <c r="I225" s="684" t="str">
        <f t="shared" si="18"/>
        <v/>
      </c>
      <c r="J225" s="754">
        <f t="shared" si="19"/>
        <v>0</v>
      </c>
      <c r="K225" s="1256"/>
      <c r="L225" s="1255"/>
      <c r="M225" s="1255"/>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25">
      <c r="A226" s="17">
        <f t="shared" si="22"/>
        <v>211</v>
      </c>
      <c r="B226" s="1044"/>
      <c r="C226" s="1045"/>
      <c r="D226" s="38"/>
      <c r="E226" s="954"/>
      <c r="F226" s="53"/>
      <c r="G226" s="39"/>
      <c r="H226" s="1050"/>
      <c r="I226" s="684" t="str">
        <f t="shared" si="18"/>
        <v/>
      </c>
      <c r="J226" s="754">
        <f t="shared" si="19"/>
        <v>0</v>
      </c>
      <c r="K226" s="1256"/>
      <c r="L226" s="1255"/>
      <c r="M226" s="1255"/>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25">
      <c r="A227" s="17">
        <f t="shared" si="22"/>
        <v>212</v>
      </c>
      <c r="B227" s="1044"/>
      <c r="C227" s="1045"/>
      <c r="D227" s="38"/>
      <c r="E227" s="954"/>
      <c r="F227" s="53"/>
      <c r="G227" s="39"/>
      <c r="H227" s="1050"/>
      <c r="I227" s="684" t="str">
        <f t="shared" si="18"/>
        <v/>
      </c>
      <c r="J227" s="754">
        <f t="shared" si="19"/>
        <v>0</v>
      </c>
      <c r="K227" s="1256"/>
      <c r="L227" s="1255"/>
      <c r="M227" s="1255"/>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25">
      <c r="A228" s="17">
        <f t="shared" si="22"/>
        <v>213</v>
      </c>
      <c r="B228" s="1044"/>
      <c r="C228" s="1045"/>
      <c r="D228" s="38"/>
      <c r="E228" s="954"/>
      <c r="F228" s="53"/>
      <c r="G228" s="39"/>
      <c r="H228" s="1050"/>
      <c r="I228" s="684" t="str">
        <f t="shared" si="18"/>
        <v/>
      </c>
      <c r="J228" s="754">
        <f t="shared" si="19"/>
        <v>0</v>
      </c>
      <c r="K228" s="1256"/>
      <c r="L228" s="1255"/>
      <c r="M228" s="1255"/>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25">
      <c r="A229" s="17">
        <f t="shared" si="22"/>
        <v>214</v>
      </c>
      <c r="B229" s="1044"/>
      <c r="C229" s="1045"/>
      <c r="D229" s="38"/>
      <c r="E229" s="954"/>
      <c r="F229" s="53"/>
      <c r="G229" s="39"/>
      <c r="H229" s="1050"/>
      <c r="I229" s="684" t="str">
        <f t="shared" si="18"/>
        <v/>
      </c>
      <c r="J229" s="754">
        <f t="shared" si="19"/>
        <v>0</v>
      </c>
      <c r="K229" s="1256"/>
      <c r="L229" s="1255"/>
      <c r="M229" s="1255"/>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25">
      <c r="A230" s="17">
        <f t="shared" si="22"/>
        <v>215</v>
      </c>
      <c r="B230" s="1044"/>
      <c r="C230" s="1045"/>
      <c r="D230" s="38"/>
      <c r="E230" s="954"/>
      <c r="F230" s="53"/>
      <c r="G230" s="39"/>
      <c r="H230" s="1050"/>
      <c r="I230" s="684" t="str">
        <f t="shared" si="18"/>
        <v/>
      </c>
      <c r="J230" s="754">
        <f t="shared" si="19"/>
        <v>0</v>
      </c>
      <c r="K230" s="1256"/>
      <c r="L230" s="1255"/>
      <c r="M230" s="1255"/>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25">
      <c r="A231" s="17">
        <f t="shared" si="22"/>
        <v>216</v>
      </c>
      <c r="B231" s="1044"/>
      <c r="C231" s="1045"/>
      <c r="D231" s="38"/>
      <c r="E231" s="954"/>
      <c r="F231" s="53"/>
      <c r="G231" s="39"/>
      <c r="H231" s="1050"/>
      <c r="I231" s="684" t="str">
        <f t="shared" si="18"/>
        <v/>
      </c>
      <c r="J231" s="754">
        <f t="shared" si="19"/>
        <v>0</v>
      </c>
      <c r="K231" s="1256"/>
      <c r="L231" s="1255"/>
      <c r="M231" s="1255"/>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25">
      <c r="A232" s="17">
        <f t="shared" si="22"/>
        <v>217</v>
      </c>
      <c r="B232" s="1044"/>
      <c r="C232" s="1045"/>
      <c r="D232" s="38"/>
      <c r="E232" s="954"/>
      <c r="F232" s="53"/>
      <c r="G232" s="39"/>
      <c r="H232" s="1050"/>
      <c r="I232" s="684" t="str">
        <f t="shared" si="18"/>
        <v/>
      </c>
      <c r="J232" s="754">
        <f t="shared" si="19"/>
        <v>0</v>
      </c>
      <c r="K232" s="1256"/>
      <c r="L232" s="1255"/>
      <c r="M232" s="1255"/>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25">
      <c r="A233" s="17">
        <f t="shared" si="22"/>
        <v>218</v>
      </c>
      <c r="B233" s="1044"/>
      <c r="C233" s="1045"/>
      <c r="D233" s="38"/>
      <c r="E233" s="954"/>
      <c r="F233" s="53"/>
      <c r="G233" s="39"/>
      <c r="H233" s="1050"/>
      <c r="I233" s="684" t="str">
        <f t="shared" si="18"/>
        <v/>
      </c>
      <c r="J233" s="754">
        <f t="shared" si="19"/>
        <v>0</v>
      </c>
      <c r="K233" s="1256"/>
      <c r="L233" s="1255"/>
      <c r="M233" s="1255"/>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25">
      <c r="A234" s="17">
        <f t="shared" si="22"/>
        <v>219</v>
      </c>
      <c r="B234" s="1044"/>
      <c r="C234" s="1045"/>
      <c r="D234" s="38"/>
      <c r="E234" s="954"/>
      <c r="F234" s="53"/>
      <c r="G234" s="39"/>
      <c r="H234" s="1050"/>
      <c r="I234" s="684" t="str">
        <f t="shared" si="18"/>
        <v/>
      </c>
      <c r="J234" s="754">
        <f t="shared" si="19"/>
        <v>0</v>
      </c>
      <c r="K234" s="1256"/>
      <c r="L234" s="1255"/>
      <c r="M234" s="1255"/>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25">
      <c r="A235" s="17">
        <f t="shared" si="22"/>
        <v>220</v>
      </c>
      <c r="B235" s="1044"/>
      <c r="C235" s="1045"/>
      <c r="D235" s="38"/>
      <c r="E235" s="954"/>
      <c r="F235" s="53"/>
      <c r="G235" s="39"/>
      <c r="H235" s="1050"/>
      <c r="I235" s="684" t="str">
        <f t="shared" si="18"/>
        <v/>
      </c>
      <c r="J235" s="754">
        <f t="shared" si="19"/>
        <v>0</v>
      </c>
      <c r="K235" s="1256"/>
      <c r="L235" s="1255"/>
      <c r="M235" s="1255"/>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25">
      <c r="A236" s="17">
        <f t="shared" si="22"/>
        <v>221</v>
      </c>
      <c r="B236" s="1044"/>
      <c r="C236" s="1045"/>
      <c r="D236" s="38"/>
      <c r="E236" s="954"/>
      <c r="F236" s="53"/>
      <c r="G236" s="39"/>
      <c r="H236" s="1050"/>
      <c r="I236" s="684" t="str">
        <f t="shared" si="18"/>
        <v/>
      </c>
      <c r="J236" s="754">
        <f t="shared" si="19"/>
        <v>0</v>
      </c>
      <c r="K236" s="1256"/>
      <c r="L236" s="1255"/>
      <c r="M236" s="1255"/>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25">
      <c r="A237" s="17">
        <f t="shared" si="22"/>
        <v>222</v>
      </c>
      <c r="B237" s="1044"/>
      <c r="C237" s="1045"/>
      <c r="D237" s="38"/>
      <c r="E237" s="954"/>
      <c r="F237" s="53"/>
      <c r="G237" s="39"/>
      <c r="H237" s="1050"/>
      <c r="I237" s="684" t="str">
        <f t="shared" si="18"/>
        <v/>
      </c>
      <c r="J237" s="754">
        <f t="shared" si="19"/>
        <v>0</v>
      </c>
      <c r="K237" s="1256"/>
      <c r="L237" s="1255"/>
      <c r="M237" s="1255"/>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25">
      <c r="A238" s="17">
        <f t="shared" si="22"/>
        <v>223</v>
      </c>
      <c r="B238" s="1044"/>
      <c r="C238" s="1045"/>
      <c r="D238" s="38"/>
      <c r="E238" s="954"/>
      <c r="F238" s="53"/>
      <c r="G238" s="39"/>
      <c r="H238" s="1050"/>
      <c r="I238" s="684" t="str">
        <f t="shared" si="18"/>
        <v/>
      </c>
      <c r="J238" s="754">
        <f t="shared" si="19"/>
        <v>0</v>
      </c>
      <c r="K238" s="1256"/>
      <c r="L238" s="1255"/>
      <c r="M238" s="1255"/>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25">
      <c r="A239" s="17">
        <f t="shared" si="22"/>
        <v>224</v>
      </c>
      <c r="B239" s="1044"/>
      <c r="C239" s="1045"/>
      <c r="D239" s="38"/>
      <c r="E239" s="954"/>
      <c r="F239" s="53"/>
      <c r="G239" s="39"/>
      <c r="H239" s="1050"/>
      <c r="I239" s="684" t="str">
        <f t="shared" si="18"/>
        <v/>
      </c>
      <c r="J239" s="754">
        <f t="shared" si="19"/>
        <v>0</v>
      </c>
      <c r="K239" s="1256"/>
      <c r="L239" s="1255"/>
      <c r="M239" s="1255"/>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25">
      <c r="A240" s="17">
        <f t="shared" si="22"/>
        <v>225</v>
      </c>
      <c r="B240" s="1044"/>
      <c r="C240" s="1045"/>
      <c r="D240" s="38"/>
      <c r="E240" s="954"/>
      <c r="F240" s="53"/>
      <c r="G240" s="39"/>
      <c r="H240" s="1050"/>
      <c r="I240" s="684" t="str">
        <f t="shared" si="18"/>
        <v/>
      </c>
      <c r="J240" s="754">
        <f t="shared" si="19"/>
        <v>0</v>
      </c>
      <c r="K240" s="1256"/>
      <c r="L240" s="1255"/>
      <c r="M240" s="1255"/>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25">
      <c r="A241" s="17">
        <f t="shared" si="22"/>
        <v>226</v>
      </c>
      <c r="B241" s="1044"/>
      <c r="C241" s="1045"/>
      <c r="D241" s="38"/>
      <c r="E241" s="954"/>
      <c r="F241" s="53"/>
      <c r="G241" s="39"/>
      <c r="H241" s="1050"/>
      <c r="I241" s="684" t="str">
        <f t="shared" si="18"/>
        <v/>
      </c>
      <c r="J241" s="754">
        <f t="shared" si="19"/>
        <v>0</v>
      </c>
      <c r="K241" s="1256"/>
      <c r="L241" s="1255"/>
      <c r="M241" s="1255"/>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25">
      <c r="A242" s="17">
        <f t="shared" si="22"/>
        <v>227</v>
      </c>
      <c r="B242" s="1044"/>
      <c r="C242" s="1045"/>
      <c r="D242" s="38"/>
      <c r="E242" s="954"/>
      <c r="F242" s="53"/>
      <c r="G242" s="39"/>
      <c r="H242" s="1050"/>
      <c r="I242" s="684" t="str">
        <f t="shared" si="18"/>
        <v/>
      </c>
      <c r="J242" s="754">
        <f t="shared" si="19"/>
        <v>0</v>
      </c>
      <c r="K242" s="1256"/>
      <c r="L242" s="1255"/>
      <c r="M242" s="1255"/>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25">
      <c r="A243" s="17">
        <f t="shared" si="22"/>
        <v>228</v>
      </c>
      <c r="B243" s="1044"/>
      <c r="C243" s="1045"/>
      <c r="D243" s="38"/>
      <c r="E243" s="954"/>
      <c r="F243" s="53"/>
      <c r="G243" s="39"/>
      <c r="H243" s="1050"/>
      <c r="I243" s="684" t="str">
        <f t="shared" si="18"/>
        <v/>
      </c>
      <c r="J243" s="754">
        <f t="shared" si="19"/>
        <v>0</v>
      </c>
      <c r="K243" s="1256"/>
      <c r="L243" s="1255"/>
      <c r="M243" s="1255"/>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25">
      <c r="A244" s="17">
        <f t="shared" si="22"/>
        <v>229</v>
      </c>
      <c r="B244" s="1044"/>
      <c r="C244" s="1045"/>
      <c r="D244" s="38"/>
      <c r="E244" s="954"/>
      <c r="F244" s="53"/>
      <c r="G244" s="39"/>
      <c r="H244" s="1050"/>
      <c r="I244" s="684" t="str">
        <f t="shared" si="18"/>
        <v/>
      </c>
      <c r="J244" s="754">
        <f t="shared" si="19"/>
        <v>0</v>
      </c>
      <c r="K244" s="1256"/>
      <c r="L244" s="1255"/>
      <c r="M244" s="1255"/>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25">
      <c r="A245" s="17">
        <f t="shared" si="22"/>
        <v>230</v>
      </c>
      <c r="B245" s="1044"/>
      <c r="C245" s="1045"/>
      <c r="D245" s="38"/>
      <c r="E245" s="954"/>
      <c r="F245" s="53"/>
      <c r="G245" s="39"/>
      <c r="H245" s="1050"/>
      <c r="I245" s="684" t="str">
        <f t="shared" si="18"/>
        <v/>
      </c>
      <c r="J245" s="754">
        <f t="shared" si="19"/>
        <v>0</v>
      </c>
      <c r="K245" s="1256"/>
      <c r="L245" s="1255"/>
      <c r="M245" s="1255"/>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25">
      <c r="A246" s="17">
        <f t="shared" si="22"/>
        <v>231</v>
      </c>
      <c r="B246" s="1044"/>
      <c r="C246" s="1045"/>
      <c r="D246" s="38"/>
      <c r="E246" s="954"/>
      <c r="F246" s="53"/>
      <c r="G246" s="39"/>
      <c r="H246" s="1050"/>
      <c r="I246" s="684" t="str">
        <f t="shared" si="18"/>
        <v/>
      </c>
      <c r="J246" s="754">
        <f t="shared" si="19"/>
        <v>0</v>
      </c>
      <c r="K246" s="1256"/>
      <c r="L246" s="1255"/>
      <c r="M246" s="1255"/>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25">
      <c r="A247" s="17">
        <f t="shared" si="22"/>
        <v>232</v>
      </c>
      <c r="B247" s="1044"/>
      <c r="C247" s="1045"/>
      <c r="D247" s="38"/>
      <c r="E247" s="954"/>
      <c r="F247" s="53"/>
      <c r="G247" s="39"/>
      <c r="H247" s="1050"/>
      <c r="I247" s="684" t="str">
        <f t="shared" si="18"/>
        <v/>
      </c>
      <c r="J247" s="754">
        <f t="shared" si="19"/>
        <v>0</v>
      </c>
      <c r="K247" s="1256"/>
      <c r="L247" s="1255"/>
      <c r="M247" s="1255"/>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25">
      <c r="A248" s="17">
        <f t="shared" si="22"/>
        <v>233</v>
      </c>
      <c r="B248" s="1044"/>
      <c r="C248" s="1045"/>
      <c r="D248" s="38"/>
      <c r="E248" s="954"/>
      <c r="F248" s="53"/>
      <c r="G248" s="39"/>
      <c r="H248" s="1050"/>
      <c r="I248" s="684" t="str">
        <f t="shared" si="18"/>
        <v/>
      </c>
      <c r="J248" s="754">
        <f t="shared" si="19"/>
        <v>0</v>
      </c>
      <c r="K248" s="1256"/>
      <c r="L248" s="1255"/>
      <c r="M248" s="1255"/>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25">
      <c r="A249" s="17">
        <f t="shared" si="22"/>
        <v>234</v>
      </c>
      <c r="B249" s="1044"/>
      <c r="C249" s="1045"/>
      <c r="D249" s="38"/>
      <c r="E249" s="954"/>
      <c r="F249" s="53"/>
      <c r="G249" s="39"/>
      <c r="H249" s="1050"/>
      <c r="I249" s="684" t="str">
        <f t="shared" si="18"/>
        <v/>
      </c>
      <c r="J249" s="754">
        <f t="shared" si="19"/>
        <v>0</v>
      </c>
      <c r="K249" s="1256"/>
      <c r="L249" s="1255"/>
      <c r="M249" s="1255"/>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25">
      <c r="A250" s="17">
        <f t="shared" si="22"/>
        <v>235</v>
      </c>
      <c r="B250" s="1044"/>
      <c r="C250" s="1045"/>
      <c r="D250" s="38"/>
      <c r="E250" s="954"/>
      <c r="F250" s="53"/>
      <c r="G250" s="39"/>
      <c r="H250" s="1050"/>
      <c r="I250" s="684" t="str">
        <f t="shared" si="18"/>
        <v/>
      </c>
      <c r="J250" s="754">
        <f t="shared" si="19"/>
        <v>0</v>
      </c>
      <c r="K250" s="1256"/>
      <c r="L250" s="1255"/>
      <c r="M250" s="1255"/>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25">
      <c r="A251" s="17">
        <f t="shared" si="22"/>
        <v>236</v>
      </c>
      <c r="B251" s="1044"/>
      <c r="C251" s="1045"/>
      <c r="D251" s="38"/>
      <c r="E251" s="954"/>
      <c r="F251" s="53"/>
      <c r="G251" s="39"/>
      <c r="H251" s="1050"/>
      <c r="I251" s="684" t="str">
        <f t="shared" si="18"/>
        <v/>
      </c>
      <c r="J251" s="754">
        <f t="shared" si="19"/>
        <v>0</v>
      </c>
      <c r="K251" s="1256"/>
      <c r="L251" s="1255"/>
      <c r="M251" s="1255"/>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25">
      <c r="A252" s="17">
        <f t="shared" si="22"/>
        <v>237</v>
      </c>
      <c r="B252" s="1044"/>
      <c r="C252" s="1045"/>
      <c r="D252" s="38"/>
      <c r="E252" s="954"/>
      <c r="F252" s="53"/>
      <c r="G252" s="39"/>
      <c r="H252" s="1050"/>
      <c r="I252" s="684" t="str">
        <f t="shared" si="18"/>
        <v/>
      </c>
      <c r="J252" s="754">
        <f t="shared" si="19"/>
        <v>0</v>
      </c>
      <c r="K252" s="1256"/>
      <c r="L252" s="1255"/>
      <c r="M252" s="1255"/>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25">
      <c r="A253" s="17">
        <f t="shared" si="22"/>
        <v>238</v>
      </c>
      <c r="B253" s="1044"/>
      <c r="C253" s="1045"/>
      <c r="D253" s="38"/>
      <c r="E253" s="954"/>
      <c r="F253" s="53"/>
      <c r="G253" s="39"/>
      <c r="H253" s="1050"/>
      <c r="I253" s="684" t="str">
        <f t="shared" si="18"/>
        <v/>
      </c>
      <c r="J253" s="754">
        <f t="shared" si="19"/>
        <v>0</v>
      </c>
      <c r="K253" s="1256"/>
      <c r="L253" s="1255"/>
      <c r="M253" s="1255"/>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25">
      <c r="A254" s="17">
        <f t="shared" si="22"/>
        <v>239</v>
      </c>
      <c r="B254" s="1044"/>
      <c r="C254" s="1045"/>
      <c r="D254" s="38"/>
      <c r="E254" s="954"/>
      <c r="F254" s="53"/>
      <c r="G254" s="39"/>
      <c r="H254" s="1050"/>
      <c r="I254" s="684" t="str">
        <f t="shared" si="18"/>
        <v/>
      </c>
      <c r="J254" s="754">
        <f t="shared" si="19"/>
        <v>0</v>
      </c>
      <c r="K254" s="1256"/>
      <c r="L254" s="1255"/>
      <c r="M254" s="1255"/>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25">
      <c r="A255" s="17">
        <f t="shared" si="22"/>
        <v>240</v>
      </c>
      <c r="B255" s="1044"/>
      <c r="C255" s="1045"/>
      <c r="D255" s="38"/>
      <c r="E255" s="954"/>
      <c r="F255" s="53"/>
      <c r="G255" s="39"/>
      <c r="H255" s="1050"/>
      <c r="I255" s="684" t="str">
        <f t="shared" si="18"/>
        <v/>
      </c>
      <c r="J255" s="754">
        <f t="shared" si="19"/>
        <v>0</v>
      </c>
      <c r="K255" s="1256"/>
      <c r="L255" s="1255"/>
      <c r="M255" s="1255"/>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25">
      <c r="A256" s="17">
        <f t="shared" si="22"/>
        <v>241</v>
      </c>
      <c r="B256" s="1044"/>
      <c r="C256" s="1045"/>
      <c r="D256" s="38"/>
      <c r="E256" s="954"/>
      <c r="F256" s="53"/>
      <c r="G256" s="39"/>
      <c r="H256" s="1050"/>
      <c r="I256" s="684" t="str">
        <f t="shared" si="18"/>
        <v/>
      </c>
      <c r="J256" s="754">
        <f t="shared" si="19"/>
        <v>0</v>
      </c>
      <c r="K256" s="1256"/>
      <c r="L256" s="1255"/>
      <c r="M256" s="1255"/>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25">
      <c r="A257" s="17">
        <f t="shared" si="22"/>
        <v>242</v>
      </c>
      <c r="B257" s="1044"/>
      <c r="C257" s="1045"/>
      <c r="D257" s="38"/>
      <c r="E257" s="954"/>
      <c r="F257" s="53"/>
      <c r="G257" s="39"/>
      <c r="H257" s="1050"/>
      <c r="I257" s="684" t="str">
        <f t="shared" si="18"/>
        <v/>
      </c>
      <c r="J257" s="754">
        <f t="shared" si="19"/>
        <v>0</v>
      </c>
      <c r="K257" s="1256"/>
      <c r="L257" s="1255"/>
      <c r="M257" s="1255"/>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25">
      <c r="A258" s="17">
        <f t="shared" si="22"/>
        <v>243</v>
      </c>
      <c r="B258" s="1044"/>
      <c r="C258" s="1045"/>
      <c r="D258" s="38"/>
      <c r="E258" s="954"/>
      <c r="F258" s="53"/>
      <c r="G258" s="39"/>
      <c r="H258" s="1050"/>
      <c r="I258" s="684" t="str">
        <f t="shared" si="18"/>
        <v/>
      </c>
      <c r="J258" s="754">
        <f t="shared" si="19"/>
        <v>0</v>
      </c>
      <c r="K258" s="1256"/>
      <c r="L258" s="1255"/>
      <c r="M258" s="1255"/>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25">
      <c r="A259" s="17">
        <f t="shared" si="22"/>
        <v>244</v>
      </c>
      <c r="B259" s="1044"/>
      <c r="C259" s="1045"/>
      <c r="D259" s="38"/>
      <c r="E259" s="954"/>
      <c r="F259" s="53"/>
      <c r="G259" s="39"/>
      <c r="H259" s="1050"/>
      <c r="I259" s="684" t="str">
        <f t="shared" si="18"/>
        <v/>
      </c>
      <c r="J259" s="754">
        <f t="shared" si="19"/>
        <v>0</v>
      </c>
      <c r="K259" s="1256"/>
      <c r="L259" s="1255"/>
      <c r="M259" s="1255"/>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25">
      <c r="A260" s="17">
        <f t="shared" si="22"/>
        <v>245</v>
      </c>
      <c r="B260" s="1044"/>
      <c r="C260" s="1045"/>
      <c r="D260" s="38"/>
      <c r="E260" s="954"/>
      <c r="F260" s="53"/>
      <c r="G260" s="39"/>
      <c r="H260" s="1050"/>
      <c r="I260" s="684" t="str">
        <f t="shared" si="18"/>
        <v/>
      </c>
      <c r="J260" s="754">
        <f t="shared" si="19"/>
        <v>0</v>
      </c>
      <c r="K260" s="1256"/>
      <c r="L260" s="1255"/>
      <c r="M260" s="1255"/>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25">
      <c r="A261" s="17">
        <f t="shared" si="22"/>
        <v>246</v>
      </c>
      <c r="B261" s="1044"/>
      <c r="C261" s="1045"/>
      <c r="D261" s="38"/>
      <c r="E261" s="954"/>
      <c r="F261" s="53"/>
      <c r="G261" s="39"/>
      <c r="H261" s="1050"/>
      <c r="I261" s="684" t="str">
        <f t="shared" si="18"/>
        <v/>
      </c>
      <c r="J261" s="754">
        <f t="shared" si="19"/>
        <v>0</v>
      </c>
      <c r="K261" s="1256"/>
      <c r="L261" s="1255"/>
      <c r="M261" s="1255"/>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25">
      <c r="A262" s="17">
        <f t="shared" si="22"/>
        <v>247</v>
      </c>
      <c r="B262" s="1044"/>
      <c r="C262" s="1045"/>
      <c r="D262" s="38"/>
      <c r="E262" s="954"/>
      <c r="F262" s="53"/>
      <c r="G262" s="39"/>
      <c r="H262" s="1050"/>
      <c r="I262" s="684" t="str">
        <f t="shared" si="18"/>
        <v/>
      </c>
      <c r="J262" s="754">
        <f t="shared" si="19"/>
        <v>0</v>
      </c>
      <c r="K262" s="1256"/>
      <c r="L262" s="1255"/>
      <c r="M262" s="1255"/>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25">
      <c r="A263" s="17">
        <f t="shared" si="22"/>
        <v>248</v>
      </c>
      <c r="B263" s="1044"/>
      <c r="C263" s="1045"/>
      <c r="D263" s="38"/>
      <c r="E263" s="954"/>
      <c r="F263" s="53"/>
      <c r="G263" s="39"/>
      <c r="H263" s="1050"/>
      <c r="I263" s="684" t="str">
        <f t="shared" si="18"/>
        <v/>
      </c>
      <c r="J263" s="754">
        <f t="shared" si="19"/>
        <v>0</v>
      </c>
      <c r="K263" s="1256"/>
      <c r="L263" s="1255"/>
      <c r="M263" s="1255"/>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25">
      <c r="A264" s="17">
        <f t="shared" si="22"/>
        <v>249</v>
      </c>
      <c r="B264" s="1044"/>
      <c r="C264" s="1045"/>
      <c r="D264" s="38"/>
      <c r="E264" s="954"/>
      <c r="F264" s="53"/>
      <c r="G264" s="39"/>
      <c r="H264" s="1050"/>
      <c r="I264" s="684" t="str">
        <f t="shared" si="18"/>
        <v/>
      </c>
      <c r="J264" s="754">
        <f t="shared" si="19"/>
        <v>0</v>
      </c>
      <c r="K264" s="1256"/>
      <c r="L264" s="1255"/>
      <c r="M264" s="1255"/>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25">
      <c r="A265" s="17">
        <f t="shared" si="22"/>
        <v>250</v>
      </c>
      <c r="B265" s="1044"/>
      <c r="C265" s="1045"/>
      <c r="D265" s="38"/>
      <c r="E265" s="954"/>
      <c r="F265" s="53"/>
      <c r="G265" s="39"/>
      <c r="H265" s="1050"/>
      <c r="I265" s="684" t="str">
        <f t="shared" si="18"/>
        <v/>
      </c>
      <c r="J265" s="754">
        <f t="shared" si="19"/>
        <v>0</v>
      </c>
      <c r="K265" s="1256"/>
      <c r="L265" s="1255"/>
      <c r="M265" s="1255"/>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25">
      <c r="A266" s="17">
        <f t="shared" si="22"/>
        <v>251</v>
      </c>
      <c r="B266" s="1044"/>
      <c r="C266" s="1045"/>
      <c r="D266" s="38"/>
      <c r="E266" s="954"/>
      <c r="F266" s="53"/>
      <c r="G266" s="39"/>
      <c r="H266" s="1050"/>
      <c r="I266" s="684" t="str">
        <f t="shared" si="18"/>
        <v/>
      </c>
      <c r="J266" s="754">
        <f t="shared" si="19"/>
        <v>0</v>
      </c>
      <c r="K266" s="1256"/>
      <c r="L266" s="1255"/>
      <c r="M266" s="1255"/>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25">
      <c r="A267" s="17">
        <f t="shared" si="22"/>
        <v>252</v>
      </c>
      <c r="B267" s="1044"/>
      <c r="C267" s="1045"/>
      <c r="D267" s="38"/>
      <c r="E267" s="954"/>
      <c r="F267" s="53"/>
      <c r="G267" s="39"/>
      <c r="H267" s="1050"/>
      <c r="I267" s="684" t="str">
        <f t="shared" si="18"/>
        <v/>
      </c>
      <c r="J267" s="754">
        <f t="shared" si="19"/>
        <v>0</v>
      </c>
      <c r="K267" s="1256"/>
      <c r="L267" s="1255"/>
      <c r="M267" s="1255"/>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25">
      <c r="A268" s="17">
        <f t="shared" si="22"/>
        <v>253</v>
      </c>
      <c r="B268" s="1044"/>
      <c r="C268" s="1045"/>
      <c r="D268" s="38"/>
      <c r="E268" s="954"/>
      <c r="F268" s="53"/>
      <c r="G268" s="39"/>
      <c r="H268" s="1050"/>
      <c r="I268" s="684" t="str">
        <f t="shared" si="18"/>
        <v/>
      </c>
      <c r="J268" s="754">
        <f t="shared" si="19"/>
        <v>0</v>
      </c>
      <c r="K268" s="1256"/>
      <c r="L268" s="1255"/>
      <c r="M268" s="1255"/>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25">
      <c r="A269" s="17">
        <f t="shared" si="22"/>
        <v>254</v>
      </c>
      <c r="B269" s="1044"/>
      <c r="C269" s="1045"/>
      <c r="D269" s="38"/>
      <c r="E269" s="954"/>
      <c r="F269" s="53"/>
      <c r="G269" s="39"/>
      <c r="H269" s="1050"/>
      <c r="I269" s="684" t="str">
        <f t="shared" si="18"/>
        <v/>
      </c>
      <c r="J269" s="754">
        <f t="shared" si="19"/>
        <v>0</v>
      </c>
      <c r="K269" s="1256"/>
      <c r="L269" s="1255"/>
      <c r="M269" s="1255"/>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25">
      <c r="A270" s="17">
        <f t="shared" si="22"/>
        <v>255</v>
      </c>
      <c r="B270" s="1044"/>
      <c r="C270" s="1045"/>
      <c r="D270" s="38"/>
      <c r="E270" s="954"/>
      <c r="F270" s="53"/>
      <c r="G270" s="39"/>
      <c r="H270" s="1050"/>
      <c r="I270" s="684" t="str">
        <f t="shared" si="18"/>
        <v/>
      </c>
      <c r="J270" s="754">
        <f t="shared" si="19"/>
        <v>0</v>
      </c>
      <c r="K270" s="1256"/>
      <c r="L270" s="1255"/>
      <c r="M270" s="1255"/>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25">
      <c r="A271" s="17">
        <f t="shared" si="22"/>
        <v>256</v>
      </c>
      <c r="B271" s="1044"/>
      <c r="C271" s="1045"/>
      <c r="D271" s="38"/>
      <c r="E271" s="954"/>
      <c r="F271" s="53"/>
      <c r="G271" s="39"/>
      <c r="H271" s="1050"/>
      <c r="I271" s="684" t="str">
        <f t="shared" si="18"/>
        <v/>
      </c>
      <c r="J271" s="754">
        <f t="shared" si="19"/>
        <v>0</v>
      </c>
      <c r="K271" s="1256"/>
      <c r="L271" s="1255"/>
      <c r="M271" s="1255"/>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25">
      <c r="A272" s="17">
        <f t="shared" si="22"/>
        <v>257</v>
      </c>
      <c r="B272" s="1044"/>
      <c r="C272" s="1045"/>
      <c r="D272" s="38"/>
      <c r="E272" s="954"/>
      <c r="F272" s="53"/>
      <c r="G272" s="39"/>
      <c r="H272" s="1050"/>
      <c r="I272" s="684" t="str">
        <f t="shared" ref="I272:I335" si="24">LEFT(H272,4)</f>
        <v/>
      </c>
      <c r="J272" s="754">
        <f t="shared" ref="J272:J335" si="25">G272-BP272</f>
        <v>0</v>
      </c>
      <c r="K272" s="1256"/>
      <c r="L272" s="1255"/>
      <c r="M272" s="1255"/>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25">
      <c r="A273" s="17">
        <f t="shared" ref="A273:A336" si="28">$A272+1</f>
        <v>258</v>
      </c>
      <c r="B273" s="1044"/>
      <c r="C273" s="1045"/>
      <c r="D273" s="38"/>
      <c r="E273" s="954"/>
      <c r="F273" s="53"/>
      <c r="G273" s="39"/>
      <c r="H273" s="1050"/>
      <c r="I273" s="684" t="str">
        <f t="shared" si="24"/>
        <v/>
      </c>
      <c r="J273" s="754">
        <f t="shared" si="25"/>
        <v>0</v>
      </c>
      <c r="K273" s="1256"/>
      <c r="L273" s="1255"/>
      <c r="M273" s="1255"/>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25">
      <c r="A274" s="17">
        <f t="shared" si="28"/>
        <v>259</v>
      </c>
      <c r="B274" s="1044"/>
      <c r="C274" s="1045"/>
      <c r="D274" s="38"/>
      <c r="E274" s="954"/>
      <c r="F274" s="53"/>
      <c r="G274" s="39"/>
      <c r="H274" s="1050"/>
      <c r="I274" s="684" t="str">
        <f t="shared" si="24"/>
        <v/>
      </c>
      <c r="J274" s="754">
        <f t="shared" si="25"/>
        <v>0</v>
      </c>
      <c r="K274" s="1256"/>
      <c r="L274" s="1255"/>
      <c r="M274" s="1255"/>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25">
      <c r="A275" s="17">
        <f t="shared" si="28"/>
        <v>260</v>
      </c>
      <c r="B275" s="1044"/>
      <c r="C275" s="1045"/>
      <c r="D275" s="38"/>
      <c r="E275" s="954"/>
      <c r="F275" s="53"/>
      <c r="G275" s="39"/>
      <c r="H275" s="1050"/>
      <c r="I275" s="684" t="str">
        <f t="shared" si="24"/>
        <v/>
      </c>
      <c r="J275" s="754">
        <f t="shared" si="25"/>
        <v>0</v>
      </c>
      <c r="K275" s="1256"/>
      <c r="L275" s="1255"/>
      <c r="M275" s="1255"/>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25">
      <c r="A276" s="17">
        <f t="shared" si="28"/>
        <v>261</v>
      </c>
      <c r="B276" s="1044"/>
      <c r="C276" s="1045"/>
      <c r="D276" s="38"/>
      <c r="E276" s="954"/>
      <c r="F276" s="53"/>
      <c r="G276" s="39"/>
      <c r="H276" s="1050"/>
      <c r="I276" s="684" t="str">
        <f t="shared" si="24"/>
        <v/>
      </c>
      <c r="J276" s="754">
        <f t="shared" si="25"/>
        <v>0</v>
      </c>
      <c r="K276" s="1256"/>
      <c r="L276" s="1255"/>
      <c r="M276" s="1255"/>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25">
      <c r="A277" s="17">
        <f t="shared" si="28"/>
        <v>262</v>
      </c>
      <c r="B277" s="1044"/>
      <c r="C277" s="1045"/>
      <c r="D277" s="38"/>
      <c r="E277" s="954"/>
      <c r="F277" s="53"/>
      <c r="G277" s="39"/>
      <c r="H277" s="1050"/>
      <c r="I277" s="684" t="str">
        <f t="shared" si="24"/>
        <v/>
      </c>
      <c r="J277" s="754">
        <f t="shared" si="25"/>
        <v>0</v>
      </c>
      <c r="K277" s="1256"/>
      <c r="L277" s="1255"/>
      <c r="M277" s="1255"/>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25">
      <c r="A278" s="17">
        <f t="shared" si="28"/>
        <v>263</v>
      </c>
      <c r="B278" s="1044"/>
      <c r="C278" s="1045"/>
      <c r="D278" s="38"/>
      <c r="E278" s="954"/>
      <c r="F278" s="53"/>
      <c r="G278" s="39"/>
      <c r="H278" s="1050"/>
      <c r="I278" s="684" t="str">
        <f t="shared" si="24"/>
        <v/>
      </c>
      <c r="J278" s="754">
        <f t="shared" si="25"/>
        <v>0</v>
      </c>
      <c r="K278" s="1256"/>
      <c r="L278" s="1255"/>
      <c r="M278" s="1255"/>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25">
      <c r="A279" s="17">
        <f t="shared" si="28"/>
        <v>264</v>
      </c>
      <c r="B279" s="1044"/>
      <c r="C279" s="1045"/>
      <c r="D279" s="38"/>
      <c r="E279" s="954"/>
      <c r="F279" s="53"/>
      <c r="G279" s="39"/>
      <c r="H279" s="1050"/>
      <c r="I279" s="684" t="str">
        <f t="shared" si="24"/>
        <v/>
      </c>
      <c r="J279" s="754">
        <f t="shared" si="25"/>
        <v>0</v>
      </c>
      <c r="K279" s="1256"/>
      <c r="L279" s="1255"/>
      <c r="M279" s="1255"/>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25">
      <c r="A280" s="17">
        <f t="shared" si="28"/>
        <v>265</v>
      </c>
      <c r="B280" s="1044"/>
      <c r="C280" s="1045"/>
      <c r="D280" s="38"/>
      <c r="E280" s="954"/>
      <c r="F280" s="53"/>
      <c r="G280" s="39"/>
      <c r="H280" s="1050"/>
      <c r="I280" s="684" t="str">
        <f t="shared" si="24"/>
        <v/>
      </c>
      <c r="J280" s="754">
        <f t="shared" si="25"/>
        <v>0</v>
      </c>
      <c r="K280" s="1256"/>
      <c r="L280" s="1255"/>
      <c r="M280" s="1255"/>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25">
      <c r="A281" s="17">
        <f t="shared" si="28"/>
        <v>266</v>
      </c>
      <c r="B281" s="1044"/>
      <c r="C281" s="1045"/>
      <c r="D281" s="38"/>
      <c r="E281" s="954"/>
      <c r="F281" s="53"/>
      <c r="G281" s="39"/>
      <c r="H281" s="1050"/>
      <c r="I281" s="684" t="str">
        <f t="shared" si="24"/>
        <v/>
      </c>
      <c r="J281" s="754">
        <f t="shared" si="25"/>
        <v>0</v>
      </c>
      <c r="K281" s="1256"/>
      <c r="L281" s="1255"/>
      <c r="M281" s="1255"/>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25">
      <c r="A282" s="17">
        <f t="shared" si="28"/>
        <v>267</v>
      </c>
      <c r="B282" s="1044"/>
      <c r="C282" s="1045"/>
      <c r="D282" s="38"/>
      <c r="E282" s="954"/>
      <c r="F282" s="53"/>
      <c r="G282" s="39"/>
      <c r="H282" s="1050"/>
      <c r="I282" s="684" t="str">
        <f t="shared" si="24"/>
        <v/>
      </c>
      <c r="J282" s="754">
        <f t="shared" si="25"/>
        <v>0</v>
      </c>
      <c r="K282" s="1256"/>
      <c r="L282" s="1255"/>
      <c r="M282" s="1255"/>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25">
      <c r="A283" s="17">
        <f t="shared" si="28"/>
        <v>268</v>
      </c>
      <c r="B283" s="1044"/>
      <c r="C283" s="1045"/>
      <c r="D283" s="38"/>
      <c r="E283" s="954"/>
      <c r="F283" s="53"/>
      <c r="G283" s="39"/>
      <c r="H283" s="1050"/>
      <c r="I283" s="684" t="str">
        <f t="shared" si="24"/>
        <v/>
      </c>
      <c r="J283" s="754">
        <f t="shared" si="25"/>
        <v>0</v>
      </c>
      <c r="K283" s="1256"/>
      <c r="L283" s="1255"/>
      <c r="M283" s="1255"/>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25">
      <c r="A284" s="17">
        <f t="shared" si="28"/>
        <v>269</v>
      </c>
      <c r="B284" s="1044"/>
      <c r="C284" s="1045"/>
      <c r="D284" s="38"/>
      <c r="E284" s="954"/>
      <c r="F284" s="53"/>
      <c r="G284" s="39"/>
      <c r="H284" s="1050"/>
      <c r="I284" s="684" t="str">
        <f t="shared" si="24"/>
        <v/>
      </c>
      <c r="J284" s="754">
        <f t="shared" si="25"/>
        <v>0</v>
      </c>
      <c r="K284" s="1256"/>
      <c r="L284" s="1255"/>
      <c r="M284" s="1255"/>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25">
      <c r="A285" s="17">
        <f t="shared" si="28"/>
        <v>270</v>
      </c>
      <c r="B285" s="1044"/>
      <c r="C285" s="1045"/>
      <c r="D285" s="38"/>
      <c r="E285" s="954"/>
      <c r="F285" s="53"/>
      <c r="G285" s="39"/>
      <c r="H285" s="1050"/>
      <c r="I285" s="684" t="str">
        <f t="shared" si="24"/>
        <v/>
      </c>
      <c r="J285" s="754">
        <f t="shared" si="25"/>
        <v>0</v>
      </c>
      <c r="K285" s="1256"/>
      <c r="L285" s="1255"/>
      <c r="M285" s="1255"/>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25">
      <c r="A286" s="17">
        <f t="shared" si="28"/>
        <v>271</v>
      </c>
      <c r="B286" s="1044"/>
      <c r="C286" s="1045"/>
      <c r="D286" s="38"/>
      <c r="E286" s="954"/>
      <c r="F286" s="53"/>
      <c r="G286" s="39"/>
      <c r="H286" s="1050"/>
      <c r="I286" s="684" t="str">
        <f t="shared" si="24"/>
        <v/>
      </c>
      <c r="J286" s="754">
        <f t="shared" si="25"/>
        <v>0</v>
      </c>
      <c r="K286" s="1256"/>
      <c r="L286" s="1255"/>
      <c r="M286" s="1255"/>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25">
      <c r="A287" s="17">
        <f t="shared" si="28"/>
        <v>272</v>
      </c>
      <c r="B287" s="1044"/>
      <c r="C287" s="1045"/>
      <c r="D287" s="38"/>
      <c r="E287" s="954"/>
      <c r="F287" s="53"/>
      <c r="G287" s="39"/>
      <c r="H287" s="1050"/>
      <c r="I287" s="684" t="str">
        <f t="shared" si="24"/>
        <v/>
      </c>
      <c r="J287" s="754">
        <f t="shared" si="25"/>
        <v>0</v>
      </c>
      <c r="K287" s="1256"/>
      <c r="L287" s="1255"/>
      <c r="M287" s="1255"/>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25">
      <c r="A288" s="17">
        <f t="shared" si="28"/>
        <v>273</v>
      </c>
      <c r="B288" s="1044"/>
      <c r="C288" s="1045"/>
      <c r="D288" s="38"/>
      <c r="E288" s="954"/>
      <c r="F288" s="53"/>
      <c r="G288" s="39"/>
      <c r="H288" s="1050"/>
      <c r="I288" s="684" t="str">
        <f t="shared" si="24"/>
        <v/>
      </c>
      <c r="J288" s="754">
        <f t="shared" si="25"/>
        <v>0</v>
      </c>
      <c r="K288" s="1256"/>
      <c r="L288" s="1255"/>
      <c r="M288" s="1255"/>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25">
      <c r="A289" s="17">
        <f t="shared" si="28"/>
        <v>274</v>
      </c>
      <c r="B289" s="1044"/>
      <c r="C289" s="1045"/>
      <c r="D289" s="38"/>
      <c r="E289" s="954"/>
      <c r="F289" s="53"/>
      <c r="G289" s="39"/>
      <c r="H289" s="1050"/>
      <c r="I289" s="684" t="str">
        <f t="shared" si="24"/>
        <v/>
      </c>
      <c r="J289" s="754">
        <f t="shared" si="25"/>
        <v>0</v>
      </c>
      <c r="K289" s="1256"/>
      <c r="L289" s="1255"/>
      <c r="M289" s="1255"/>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25">
      <c r="A290" s="17">
        <f t="shared" si="28"/>
        <v>275</v>
      </c>
      <c r="B290" s="1044"/>
      <c r="C290" s="1045"/>
      <c r="D290" s="38"/>
      <c r="E290" s="954"/>
      <c r="F290" s="53"/>
      <c r="G290" s="39"/>
      <c r="H290" s="1050"/>
      <c r="I290" s="684" t="str">
        <f t="shared" si="24"/>
        <v/>
      </c>
      <c r="J290" s="754">
        <f t="shared" si="25"/>
        <v>0</v>
      </c>
      <c r="K290" s="1256"/>
      <c r="L290" s="1255"/>
      <c r="M290" s="1255"/>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25">
      <c r="A291" s="17">
        <f t="shared" si="28"/>
        <v>276</v>
      </c>
      <c r="B291" s="1044"/>
      <c r="C291" s="1045"/>
      <c r="D291" s="38"/>
      <c r="E291" s="954"/>
      <c r="F291" s="53"/>
      <c r="G291" s="39"/>
      <c r="H291" s="1050"/>
      <c r="I291" s="684" t="str">
        <f t="shared" si="24"/>
        <v/>
      </c>
      <c r="J291" s="754">
        <f t="shared" si="25"/>
        <v>0</v>
      </c>
      <c r="K291" s="1256"/>
      <c r="L291" s="1255"/>
      <c r="M291" s="1255"/>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25">
      <c r="A292" s="17">
        <f t="shared" si="28"/>
        <v>277</v>
      </c>
      <c r="B292" s="1044"/>
      <c r="C292" s="1045"/>
      <c r="D292" s="38"/>
      <c r="E292" s="954"/>
      <c r="F292" s="53"/>
      <c r="G292" s="39"/>
      <c r="H292" s="1050"/>
      <c r="I292" s="684" t="str">
        <f t="shared" si="24"/>
        <v/>
      </c>
      <c r="J292" s="754">
        <f t="shared" si="25"/>
        <v>0</v>
      </c>
      <c r="K292" s="1256"/>
      <c r="L292" s="1255"/>
      <c r="M292" s="1255"/>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25">
      <c r="A293" s="17">
        <f t="shared" si="28"/>
        <v>278</v>
      </c>
      <c r="B293" s="1044"/>
      <c r="C293" s="1045"/>
      <c r="D293" s="38"/>
      <c r="E293" s="954"/>
      <c r="F293" s="53"/>
      <c r="G293" s="39"/>
      <c r="H293" s="1050"/>
      <c r="I293" s="684" t="str">
        <f t="shared" si="24"/>
        <v/>
      </c>
      <c r="J293" s="754">
        <f t="shared" si="25"/>
        <v>0</v>
      </c>
      <c r="K293" s="1256"/>
      <c r="L293" s="1255"/>
      <c r="M293" s="1255"/>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25">
      <c r="A294" s="17">
        <f t="shared" si="28"/>
        <v>279</v>
      </c>
      <c r="B294" s="1044"/>
      <c r="C294" s="1045"/>
      <c r="D294" s="38"/>
      <c r="E294" s="954"/>
      <c r="F294" s="53"/>
      <c r="G294" s="39"/>
      <c r="H294" s="1050"/>
      <c r="I294" s="684" t="str">
        <f t="shared" si="24"/>
        <v/>
      </c>
      <c r="J294" s="754">
        <f t="shared" si="25"/>
        <v>0</v>
      </c>
      <c r="K294" s="1256"/>
      <c r="L294" s="1255"/>
      <c r="M294" s="1255"/>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25">
      <c r="A295" s="17">
        <f t="shared" si="28"/>
        <v>280</v>
      </c>
      <c r="B295" s="1044"/>
      <c r="C295" s="1045"/>
      <c r="D295" s="38"/>
      <c r="E295" s="954"/>
      <c r="F295" s="53"/>
      <c r="G295" s="39"/>
      <c r="H295" s="1050"/>
      <c r="I295" s="684" t="str">
        <f t="shared" si="24"/>
        <v/>
      </c>
      <c r="J295" s="754">
        <f t="shared" si="25"/>
        <v>0</v>
      </c>
      <c r="K295" s="1256"/>
      <c r="L295" s="1255"/>
      <c r="M295" s="1255"/>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25">
      <c r="A296" s="17">
        <f t="shared" si="28"/>
        <v>281</v>
      </c>
      <c r="B296" s="1044"/>
      <c r="C296" s="1045"/>
      <c r="D296" s="38"/>
      <c r="E296" s="954"/>
      <c r="F296" s="53"/>
      <c r="G296" s="39"/>
      <c r="H296" s="1050"/>
      <c r="I296" s="684" t="str">
        <f t="shared" si="24"/>
        <v/>
      </c>
      <c r="J296" s="754">
        <f t="shared" si="25"/>
        <v>0</v>
      </c>
      <c r="K296" s="1256"/>
      <c r="L296" s="1255"/>
      <c r="M296" s="1255"/>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25">
      <c r="A297" s="17">
        <f t="shared" si="28"/>
        <v>282</v>
      </c>
      <c r="B297" s="1044"/>
      <c r="C297" s="1045"/>
      <c r="D297" s="38"/>
      <c r="E297" s="954"/>
      <c r="F297" s="53"/>
      <c r="G297" s="39"/>
      <c r="H297" s="1050"/>
      <c r="I297" s="684" t="str">
        <f t="shared" si="24"/>
        <v/>
      </c>
      <c r="J297" s="754">
        <f t="shared" si="25"/>
        <v>0</v>
      </c>
      <c r="K297" s="1256"/>
      <c r="L297" s="1255"/>
      <c r="M297" s="1255"/>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25">
      <c r="A298" s="17">
        <f t="shared" si="28"/>
        <v>283</v>
      </c>
      <c r="B298" s="1044"/>
      <c r="C298" s="1045"/>
      <c r="D298" s="38"/>
      <c r="E298" s="954"/>
      <c r="F298" s="53"/>
      <c r="G298" s="39"/>
      <c r="H298" s="1050"/>
      <c r="I298" s="684" t="str">
        <f t="shared" si="24"/>
        <v/>
      </c>
      <c r="J298" s="754">
        <f t="shared" si="25"/>
        <v>0</v>
      </c>
      <c r="K298" s="1256"/>
      <c r="L298" s="1255"/>
      <c r="M298" s="1255"/>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25">
      <c r="A299" s="17">
        <f t="shared" si="28"/>
        <v>284</v>
      </c>
      <c r="B299" s="1044"/>
      <c r="C299" s="1045"/>
      <c r="D299" s="38"/>
      <c r="E299" s="954"/>
      <c r="F299" s="53"/>
      <c r="G299" s="39"/>
      <c r="H299" s="1050"/>
      <c r="I299" s="684" t="str">
        <f t="shared" si="24"/>
        <v/>
      </c>
      <c r="J299" s="754">
        <f t="shared" si="25"/>
        <v>0</v>
      </c>
      <c r="K299" s="1256"/>
      <c r="L299" s="1255"/>
      <c r="M299" s="1255"/>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25">
      <c r="A300" s="17">
        <f t="shared" si="28"/>
        <v>285</v>
      </c>
      <c r="B300" s="1044"/>
      <c r="C300" s="1045"/>
      <c r="D300" s="38"/>
      <c r="E300" s="954"/>
      <c r="F300" s="53"/>
      <c r="G300" s="39"/>
      <c r="H300" s="1050"/>
      <c r="I300" s="684" t="str">
        <f t="shared" si="24"/>
        <v/>
      </c>
      <c r="J300" s="754">
        <f t="shared" si="25"/>
        <v>0</v>
      </c>
      <c r="K300" s="1256"/>
      <c r="L300" s="1255"/>
      <c r="M300" s="1255"/>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25">
      <c r="A301" s="17">
        <f t="shared" si="28"/>
        <v>286</v>
      </c>
      <c r="B301" s="1044"/>
      <c r="C301" s="1045"/>
      <c r="D301" s="38"/>
      <c r="E301" s="954"/>
      <c r="F301" s="53"/>
      <c r="G301" s="39"/>
      <c r="H301" s="1050"/>
      <c r="I301" s="684" t="str">
        <f t="shared" si="24"/>
        <v/>
      </c>
      <c r="J301" s="754">
        <f t="shared" si="25"/>
        <v>0</v>
      </c>
      <c r="K301" s="1256"/>
      <c r="L301" s="1255"/>
      <c r="M301" s="1255"/>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25">
      <c r="A302" s="17">
        <f t="shared" si="28"/>
        <v>287</v>
      </c>
      <c r="B302" s="1044"/>
      <c r="C302" s="1045"/>
      <c r="D302" s="38"/>
      <c r="E302" s="954"/>
      <c r="F302" s="53"/>
      <c r="G302" s="39"/>
      <c r="H302" s="1050"/>
      <c r="I302" s="684" t="str">
        <f t="shared" si="24"/>
        <v/>
      </c>
      <c r="J302" s="754">
        <f t="shared" si="25"/>
        <v>0</v>
      </c>
      <c r="K302" s="1256"/>
      <c r="L302" s="1255"/>
      <c r="M302" s="1255"/>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25">
      <c r="A303" s="17">
        <f t="shared" si="28"/>
        <v>288</v>
      </c>
      <c r="B303" s="1044"/>
      <c r="C303" s="1045"/>
      <c r="D303" s="38"/>
      <c r="E303" s="954"/>
      <c r="F303" s="53"/>
      <c r="G303" s="39"/>
      <c r="H303" s="1050"/>
      <c r="I303" s="684" t="str">
        <f t="shared" si="24"/>
        <v/>
      </c>
      <c r="J303" s="754">
        <f t="shared" si="25"/>
        <v>0</v>
      </c>
      <c r="K303" s="1256"/>
      <c r="L303" s="1255"/>
      <c r="M303" s="1255"/>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25">
      <c r="A304" s="17">
        <f t="shared" si="28"/>
        <v>289</v>
      </c>
      <c r="B304" s="1044"/>
      <c r="C304" s="1045"/>
      <c r="D304" s="38"/>
      <c r="E304" s="954"/>
      <c r="F304" s="53"/>
      <c r="G304" s="39"/>
      <c r="H304" s="1050"/>
      <c r="I304" s="684" t="str">
        <f t="shared" si="24"/>
        <v/>
      </c>
      <c r="J304" s="754">
        <f t="shared" si="25"/>
        <v>0</v>
      </c>
      <c r="K304" s="1256"/>
      <c r="L304" s="1255"/>
      <c r="M304" s="1255"/>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25">
      <c r="A305" s="17">
        <f t="shared" si="28"/>
        <v>290</v>
      </c>
      <c r="B305" s="1044"/>
      <c r="C305" s="1046"/>
      <c r="D305" s="38"/>
      <c r="E305" s="954"/>
      <c r="F305" s="53"/>
      <c r="G305" s="39"/>
      <c r="H305" s="1050"/>
      <c r="I305" s="684" t="str">
        <f t="shared" si="24"/>
        <v/>
      </c>
      <c r="J305" s="754">
        <f t="shared" si="25"/>
        <v>0</v>
      </c>
      <c r="K305" s="1256"/>
      <c r="L305" s="1255"/>
      <c r="M305" s="1255"/>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25">
      <c r="A306" s="17">
        <f t="shared" si="28"/>
        <v>291</v>
      </c>
      <c r="B306" s="1044"/>
      <c r="C306" s="1045"/>
      <c r="D306" s="38"/>
      <c r="E306" s="954"/>
      <c r="F306" s="53"/>
      <c r="G306" s="39"/>
      <c r="H306" s="1050"/>
      <c r="I306" s="684" t="str">
        <f t="shared" si="24"/>
        <v/>
      </c>
      <c r="J306" s="754">
        <f t="shared" si="25"/>
        <v>0</v>
      </c>
      <c r="K306" s="1256"/>
      <c r="L306" s="1255"/>
      <c r="M306" s="1255"/>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25">
      <c r="A307" s="17">
        <f t="shared" si="28"/>
        <v>292</v>
      </c>
      <c r="B307" s="1044"/>
      <c r="C307" s="1045"/>
      <c r="D307" s="38"/>
      <c r="E307" s="954"/>
      <c r="F307" s="53"/>
      <c r="G307" s="39"/>
      <c r="H307" s="1050"/>
      <c r="I307" s="684" t="str">
        <f t="shared" si="24"/>
        <v/>
      </c>
      <c r="J307" s="754">
        <f t="shared" si="25"/>
        <v>0</v>
      </c>
      <c r="K307" s="1256"/>
      <c r="L307" s="1255"/>
      <c r="M307" s="1255"/>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25">
      <c r="A308" s="17">
        <f t="shared" si="28"/>
        <v>293</v>
      </c>
      <c r="B308" s="1044"/>
      <c r="C308" s="1045"/>
      <c r="D308" s="38"/>
      <c r="E308" s="954"/>
      <c r="F308" s="53"/>
      <c r="G308" s="39"/>
      <c r="H308" s="1050"/>
      <c r="I308" s="684" t="str">
        <f t="shared" si="24"/>
        <v/>
      </c>
      <c r="J308" s="754">
        <f t="shared" si="25"/>
        <v>0</v>
      </c>
      <c r="K308" s="1256"/>
      <c r="L308" s="1255"/>
      <c r="M308" s="1255"/>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25">
      <c r="A309" s="17">
        <f t="shared" si="28"/>
        <v>294</v>
      </c>
      <c r="B309" s="1044"/>
      <c r="C309" s="1045"/>
      <c r="D309" s="38"/>
      <c r="E309" s="954"/>
      <c r="F309" s="53"/>
      <c r="G309" s="39"/>
      <c r="H309" s="1050"/>
      <c r="I309" s="684" t="str">
        <f t="shared" si="24"/>
        <v/>
      </c>
      <c r="J309" s="754">
        <f t="shared" si="25"/>
        <v>0</v>
      </c>
      <c r="K309" s="1256"/>
      <c r="L309" s="1255"/>
      <c r="M309" s="1255"/>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25">
      <c r="A310" s="17">
        <f t="shared" si="28"/>
        <v>295</v>
      </c>
      <c r="B310" s="1044"/>
      <c r="C310" s="1045"/>
      <c r="D310" s="38"/>
      <c r="E310" s="954"/>
      <c r="F310" s="53"/>
      <c r="G310" s="39"/>
      <c r="H310" s="1050"/>
      <c r="I310" s="684" t="str">
        <f t="shared" si="24"/>
        <v/>
      </c>
      <c r="J310" s="754">
        <f t="shared" si="25"/>
        <v>0</v>
      </c>
      <c r="K310" s="1256"/>
      <c r="L310" s="1255"/>
      <c r="M310" s="1255"/>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25">
      <c r="A311" s="17">
        <f t="shared" si="28"/>
        <v>296</v>
      </c>
      <c r="B311" s="1044"/>
      <c r="C311" s="1045"/>
      <c r="D311" s="38"/>
      <c r="E311" s="954"/>
      <c r="F311" s="53"/>
      <c r="G311" s="39"/>
      <c r="H311" s="1050"/>
      <c r="I311" s="684" t="str">
        <f t="shared" si="24"/>
        <v/>
      </c>
      <c r="J311" s="754">
        <f t="shared" si="25"/>
        <v>0</v>
      </c>
      <c r="K311" s="1256"/>
      <c r="L311" s="1255"/>
      <c r="M311" s="1255"/>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25">
      <c r="A312" s="17">
        <f t="shared" si="28"/>
        <v>297</v>
      </c>
      <c r="B312" s="1044"/>
      <c r="C312" s="1046"/>
      <c r="D312" s="38"/>
      <c r="E312" s="954"/>
      <c r="F312" s="53"/>
      <c r="G312" s="39"/>
      <c r="H312" s="1050"/>
      <c r="I312" s="684" t="str">
        <f t="shared" si="24"/>
        <v/>
      </c>
      <c r="J312" s="754">
        <f t="shared" si="25"/>
        <v>0</v>
      </c>
      <c r="K312" s="1256"/>
      <c r="L312" s="1255"/>
      <c r="M312" s="1255"/>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25">
      <c r="A313" s="17">
        <f t="shared" si="28"/>
        <v>298</v>
      </c>
      <c r="B313" s="1044"/>
      <c r="C313" s="1045"/>
      <c r="D313" s="38"/>
      <c r="E313" s="954"/>
      <c r="F313" s="53"/>
      <c r="G313" s="39"/>
      <c r="H313" s="1050"/>
      <c r="I313" s="684" t="str">
        <f t="shared" si="24"/>
        <v/>
      </c>
      <c r="J313" s="754">
        <f t="shared" si="25"/>
        <v>0</v>
      </c>
      <c r="K313" s="1256"/>
      <c r="L313" s="1255"/>
      <c r="M313" s="1255"/>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25">
      <c r="A314" s="17">
        <f t="shared" si="28"/>
        <v>299</v>
      </c>
      <c r="B314" s="1044"/>
      <c r="C314" s="1045"/>
      <c r="D314" s="38"/>
      <c r="E314" s="954"/>
      <c r="F314" s="53"/>
      <c r="G314" s="39"/>
      <c r="H314" s="1050"/>
      <c r="I314" s="684" t="str">
        <f t="shared" si="24"/>
        <v/>
      </c>
      <c r="J314" s="754">
        <f t="shared" si="25"/>
        <v>0</v>
      </c>
      <c r="K314" s="1256"/>
      <c r="L314" s="1255"/>
      <c r="M314" s="1255"/>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25">
      <c r="A315" s="17">
        <f t="shared" si="28"/>
        <v>300</v>
      </c>
      <c r="B315" s="1044"/>
      <c r="C315" s="1045"/>
      <c r="D315" s="38"/>
      <c r="E315" s="954"/>
      <c r="F315" s="53"/>
      <c r="G315" s="39"/>
      <c r="H315" s="1050"/>
      <c r="I315" s="684" t="str">
        <f t="shared" si="24"/>
        <v/>
      </c>
      <c r="J315" s="754">
        <f t="shared" si="25"/>
        <v>0</v>
      </c>
      <c r="K315" s="1256"/>
      <c r="L315" s="1255"/>
      <c r="M315" s="1255"/>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25">
      <c r="A316" s="17">
        <f t="shared" si="28"/>
        <v>301</v>
      </c>
      <c r="B316" s="1044"/>
      <c r="C316" s="1045"/>
      <c r="D316" s="38"/>
      <c r="E316" s="954"/>
      <c r="F316" s="53"/>
      <c r="G316" s="39"/>
      <c r="H316" s="1050"/>
      <c r="I316" s="684" t="str">
        <f t="shared" si="24"/>
        <v/>
      </c>
      <c r="J316" s="754">
        <f t="shared" si="25"/>
        <v>0</v>
      </c>
      <c r="K316" s="1256"/>
      <c r="L316" s="1255"/>
      <c r="M316" s="1255"/>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25">
      <c r="A317" s="17">
        <f t="shared" si="28"/>
        <v>302</v>
      </c>
      <c r="B317" s="1044"/>
      <c r="C317" s="1045"/>
      <c r="D317" s="38"/>
      <c r="E317" s="954"/>
      <c r="F317" s="53"/>
      <c r="G317" s="39"/>
      <c r="H317" s="1050"/>
      <c r="I317" s="684" t="str">
        <f t="shared" si="24"/>
        <v/>
      </c>
      <c r="J317" s="754">
        <f t="shared" si="25"/>
        <v>0</v>
      </c>
      <c r="K317" s="1256"/>
      <c r="L317" s="1255"/>
      <c r="M317" s="1255"/>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25">
      <c r="A318" s="17">
        <f t="shared" si="28"/>
        <v>303</v>
      </c>
      <c r="B318" s="1044"/>
      <c r="C318" s="1045"/>
      <c r="D318" s="38"/>
      <c r="E318" s="954"/>
      <c r="F318" s="53"/>
      <c r="G318" s="39"/>
      <c r="H318" s="1050"/>
      <c r="I318" s="684" t="str">
        <f t="shared" si="24"/>
        <v/>
      </c>
      <c r="J318" s="754">
        <f t="shared" si="25"/>
        <v>0</v>
      </c>
      <c r="K318" s="1256"/>
      <c r="L318" s="1255"/>
      <c r="M318" s="1255"/>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25">
      <c r="A319" s="17">
        <f t="shared" si="28"/>
        <v>304</v>
      </c>
      <c r="B319" s="1044"/>
      <c r="C319" s="1045"/>
      <c r="D319" s="38"/>
      <c r="E319" s="954"/>
      <c r="F319" s="53"/>
      <c r="G319" s="39"/>
      <c r="H319" s="1050"/>
      <c r="I319" s="684" t="str">
        <f t="shared" si="24"/>
        <v/>
      </c>
      <c r="J319" s="754">
        <f t="shared" si="25"/>
        <v>0</v>
      </c>
      <c r="K319" s="1256"/>
      <c r="L319" s="1255"/>
      <c r="M319" s="1255"/>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25">
      <c r="A320" s="17">
        <f t="shared" si="28"/>
        <v>305</v>
      </c>
      <c r="B320" s="1044"/>
      <c r="C320" s="1045"/>
      <c r="D320" s="38"/>
      <c r="E320" s="954"/>
      <c r="F320" s="53"/>
      <c r="G320" s="39"/>
      <c r="H320" s="1050"/>
      <c r="I320" s="684" t="str">
        <f t="shared" si="24"/>
        <v/>
      </c>
      <c r="J320" s="754">
        <f t="shared" si="25"/>
        <v>0</v>
      </c>
      <c r="K320" s="1256"/>
      <c r="L320" s="1255"/>
      <c r="M320" s="1255"/>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25">
      <c r="A321" s="17">
        <f t="shared" si="28"/>
        <v>306</v>
      </c>
      <c r="B321" s="1044"/>
      <c r="C321" s="1045"/>
      <c r="D321" s="38"/>
      <c r="E321" s="954"/>
      <c r="F321" s="53"/>
      <c r="G321" s="39"/>
      <c r="H321" s="1050"/>
      <c r="I321" s="684" t="str">
        <f t="shared" si="24"/>
        <v/>
      </c>
      <c r="J321" s="754">
        <f t="shared" si="25"/>
        <v>0</v>
      </c>
      <c r="K321" s="1256"/>
      <c r="L321" s="1255"/>
      <c r="M321" s="1255"/>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25">
      <c r="A322" s="17">
        <f t="shared" si="28"/>
        <v>307</v>
      </c>
      <c r="B322" s="1044"/>
      <c r="C322" s="1045"/>
      <c r="D322" s="38"/>
      <c r="E322" s="954"/>
      <c r="F322" s="53"/>
      <c r="G322" s="39"/>
      <c r="H322" s="1050"/>
      <c r="I322" s="684" t="str">
        <f t="shared" si="24"/>
        <v/>
      </c>
      <c r="J322" s="754">
        <f t="shared" si="25"/>
        <v>0</v>
      </c>
      <c r="K322" s="1256"/>
      <c r="L322" s="1255"/>
      <c r="M322" s="1255"/>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25">
      <c r="A323" s="17">
        <f t="shared" si="28"/>
        <v>308</v>
      </c>
      <c r="B323" s="1044"/>
      <c r="C323" s="1045"/>
      <c r="D323" s="38"/>
      <c r="E323" s="954"/>
      <c r="F323" s="53"/>
      <c r="G323" s="39"/>
      <c r="H323" s="1050"/>
      <c r="I323" s="684" t="str">
        <f t="shared" si="24"/>
        <v/>
      </c>
      <c r="J323" s="754">
        <f t="shared" si="25"/>
        <v>0</v>
      </c>
      <c r="K323" s="1256"/>
      <c r="L323" s="1255"/>
      <c r="M323" s="1255"/>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25">
      <c r="A324" s="17">
        <f t="shared" si="28"/>
        <v>309</v>
      </c>
      <c r="B324" s="1044"/>
      <c r="C324" s="1045"/>
      <c r="D324" s="38"/>
      <c r="E324" s="954"/>
      <c r="F324" s="53"/>
      <c r="G324" s="39"/>
      <c r="H324" s="1050"/>
      <c r="I324" s="684" t="str">
        <f t="shared" si="24"/>
        <v/>
      </c>
      <c r="J324" s="754">
        <f t="shared" si="25"/>
        <v>0</v>
      </c>
      <c r="K324" s="1256"/>
      <c r="L324" s="1255"/>
      <c r="M324" s="1255"/>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25">
      <c r="A325" s="17">
        <f t="shared" si="28"/>
        <v>310</v>
      </c>
      <c r="B325" s="1044"/>
      <c r="C325" s="1045"/>
      <c r="D325" s="38"/>
      <c r="E325" s="954"/>
      <c r="F325" s="53"/>
      <c r="G325" s="39"/>
      <c r="H325" s="1050"/>
      <c r="I325" s="684" t="str">
        <f t="shared" si="24"/>
        <v/>
      </c>
      <c r="J325" s="754">
        <f t="shared" si="25"/>
        <v>0</v>
      </c>
      <c r="K325" s="1256"/>
      <c r="L325" s="1255"/>
      <c r="M325" s="1255"/>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25">
      <c r="A326" s="17">
        <f t="shared" si="28"/>
        <v>311</v>
      </c>
      <c r="B326" s="1044"/>
      <c r="C326" s="1045"/>
      <c r="D326" s="38"/>
      <c r="E326" s="954"/>
      <c r="F326" s="53"/>
      <c r="G326" s="39"/>
      <c r="H326" s="1050"/>
      <c r="I326" s="684" t="str">
        <f t="shared" si="24"/>
        <v/>
      </c>
      <c r="J326" s="754">
        <f t="shared" si="25"/>
        <v>0</v>
      </c>
      <c r="K326" s="1256"/>
      <c r="L326" s="1255"/>
      <c r="M326" s="1255"/>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25">
      <c r="A327" s="17">
        <f t="shared" si="28"/>
        <v>312</v>
      </c>
      <c r="B327" s="1044"/>
      <c r="C327" s="1045"/>
      <c r="D327" s="38"/>
      <c r="E327" s="954"/>
      <c r="F327" s="53"/>
      <c r="G327" s="39"/>
      <c r="H327" s="1050"/>
      <c r="I327" s="684" t="str">
        <f t="shared" si="24"/>
        <v/>
      </c>
      <c r="J327" s="754">
        <f t="shared" si="25"/>
        <v>0</v>
      </c>
      <c r="K327" s="1256"/>
      <c r="L327" s="1255"/>
      <c r="M327" s="1255"/>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25">
      <c r="A328" s="17">
        <f t="shared" si="28"/>
        <v>313</v>
      </c>
      <c r="B328" s="1044"/>
      <c r="C328" s="1045"/>
      <c r="D328" s="38"/>
      <c r="E328" s="954"/>
      <c r="F328" s="53"/>
      <c r="G328" s="39"/>
      <c r="H328" s="1050"/>
      <c r="I328" s="684" t="str">
        <f t="shared" si="24"/>
        <v/>
      </c>
      <c r="J328" s="754">
        <f t="shared" si="25"/>
        <v>0</v>
      </c>
      <c r="K328" s="1256"/>
      <c r="L328" s="1255"/>
      <c r="M328" s="1255"/>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25">
      <c r="A329" s="17">
        <f t="shared" si="28"/>
        <v>314</v>
      </c>
      <c r="B329" s="1044"/>
      <c r="C329" s="1045"/>
      <c r="D329" s="38"/>
      <c r="E329" s="954"/>
      <c r="F329" s="53"/>
      <c r="G329" s="39"/>
      <c r="H329" s="1050"/>
      <c r="I329" s="684" t="str">
        <f t="shared" si="24"/>
        <v/>
      </c>
      <c r="J329" s="754">
        <f t="shared" si="25"/>
        <v>0</v>
      </c>
      <c r="K329" s="1256"/>
      <c r="L329" s="1255"/>
      <c r="M329" s="1255"/>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25">
      <c r="A330" s="17">
        <f t="shared" si="28"/>
        <v>315</v>
      </c>
      <c r="B330" s="1044"/>
      <c r="C330" s="1045"/>
      <c r="D330" s="38"/>
      <c r="E330" s="954"/>
      <c r="F330" s="53"/>
      <c r="G330" s="39"/>
      <c r="H330" s="1050"/>
      <c r="I330" s="684" t="str">
        <f t="shared" si="24"/>
        <v/>
      </c>
      <c r="J330" s="754">
        <f t="shared" si="25"/>
        <v>0</v>
      </c>
      <c r="K330" s="1256"/>
      <c r="L330" s="1255"/>
      <c r="M330" s="1255"/>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25">
      <c r="A331" s="17">
        <f t="shared" si="28"/>
        <v>316</v>
      </c>
      <c r="B331" s="1044"/>
      <c r="C331" s="1045"/>
      <c r="D331" s="38"/>
      <c r="E331" s="954"/>
      <c r="F331" s="53"/>
      <c r="G331" s="39"/>
      <c r="H331" s="1050"/>
      <c r="I331" s="684" t="str">
        <f t="shared" si="24"/>
        <v/>
      </c>
      <c r="J331" s="754">
        <f t="shared" si="25"/>
        <v>0</v>
      </c>
      <c r="K331" s="1256"/>
      <c r="L331" s="1255"/>
      <c r="M331" s="1255"/>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25">
      <c r="A332" s="17">
        <f t="shared" si="28"/>
        <v>317</v>
      </c>
      <c r="B332" s="1044"/>
      <c r="C332" s="1045"/>
      <c r="D332" s="38"/>
      <c r="E332" s="954"/>
      <c r="F332" s="53"/>
      <c r="G332" s="39"/>
      <c r="H332" s="1050"/>
      <c r="I332" s="684" t="str">
        <f t="shared" si="24"/>
        <v/>
      </c>
      <c r="J332" s="754">
        <f t="shared" si="25"/>
        <v>0</v>
      </c>
      <c r="K332" s="1256"/>
      <c r="L332" s="1255"/>
      <c r="M332" s="1255"/>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25">
      <c r="A333" s="17">
        <f t="shared" si="28"/>
        <v>318</v>
      </c>
      <c r="B333" s="1044"/>
      <c r="C333" s="1045"/>
      <c r="D333" s="38"/>
      <c r="E333" s="954"/>
      <c r="F333" s="53"/>
      <c r="G333" s="39"/>
      <c r="H333" s="1050"/>
      <c r="I333" s="684" t="str">
        <f t="shared" si="24"/>
        <v/>
      </c>
      <c r="J333" s="754">
        <f t="shared" si="25"/>
        <v>0</v>
      </c>
      <c r="K333" s="1256"/>
      <c r="L333" s="1255"/>
      <c r="M333" s="1255"/>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25">
      <c r="A334" s="17">
        <f t="shared" si="28"/>
        <v>319</v>
      </c>
      <c r="B334" s="1044"/>
      <c r="C334" s="1045"/>
      <c r="D334" s="38"/>
      <c r="E334" s="954"/>
      <c r="F334" s="53"/>
      <c r="G334" s="39"/>
      <c r="H334" s="1050"/>
      <c r="I334" s="684" t="str">
        <f t="shared" si="24"/>
        <v/>
      </c>
      <c r="J334" s="754">
        <f t="shared" si="25"/>
        <v>0</v>
      </c>
      <c r="K334" s="1256"/>
      <c r="L334" s="1255"/>
      <c r="M334" s="1255"/>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25">
      <c r="A335" s="17">
        <f t="shared" si="28"/>
        <v>320</v>
      </c>
      <c r="B335" s="1044"/>
      <c r="C335" s="1045"/>
      <c r="D335" s="38"/>
      <c r="E335" s="954"/>
      <c r="F335" s="53"/>
      <c r="G335" s="39"/>
      <c r="H335" s="1050"/>
      <c r="I335" s="684" t="str">
        <f t="shared" si="24"/>
        <v/>
      </c>
      <c r="J335" s="754">
        <f t="shared" si="25"/>
        <v>0</v>
      </c>
      <c r="K335" s="1256"/>
      <c r="L335" s="1255"/>
      <c r="M335" s="1255"/>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25">
      <c r="A336" s="17">
        <f t="shared" si="28"/>
        <v>321</v>
      </c>
      <c r="B336" s="1044"/>
      <c r="C336" s="1045"/>
      <c r="D336" s="38"/>
      <c r="E336" s="954"/>
      <c r="F336" s="53"/>
      <c r="G336" s="39"/>
      <c r="H336" s="1050"/>
      <c r="I336" s="684" t="str">
        <f t="shared" ref="I336:I399" si="30">LEFT(H336,4)</f>
        <v/>
      </c>
      <c r="J336" s="754">
        <f t="shared" ref="J336:J399" si="31">G336-BP336</f>
        <v>0</v>
      </c>
      <c r="K336" s="1256"/>
      <c r="L336" s="1255"/>
      <c r="M336" s="1255"/>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25">
      <c r="A337" s="17">
        <f t="shared" ref="A337:A400" si="34">$A336+1</f>
        <v>322</v>
      </c>
      <c r="B337" s="1044"/>
      <c r="C337" s="1045"/>
      <c r="D337" s="38"/>
      <c r="E337" s="954"/>
      <c r="F337" s="53"/>
      <c r="G337" s="39"/>
      <c r="H337" s="1050"/>
      <c r="I337" s="684" t="str">
        <f t="shared" si="30"/>
        <v/>
      </c>
      <c r="J337" s="754">
        <f t="shared" si="31"/>
        <v>0</v>
      </c>
      <c r="K337" s="1256"/>
      <c r="L337" s="1255"/>
      <c r="M337" s="1255"/>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25">
      <c r="A338" s="17">
        <f t="shared" si="34"/>
        <v>323</v>
      </c>
      <c r="B338" s="1044"/>
      <c r="C338" s="1045"/>
      <c r="D338" s="38"/>
      <c r="E338" s="954"/>
      <c r="F338" s="53"/>
      <c r="G338" s="39"/>
      <c r="H338" s="1050"/>
      <c r="I338" s="684" t="str">
        <f t="shared" si="30"/>
        <v/>
      </c>
      <c r="J338" s="754">
        <f t="shared" si="31"/>
        <v>0</v>
      </c>
      <c r="K338" s="1256"/>
      <c r="L338" s="1255"/>
      <c r="M338" s="1255"/>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25">
      <c r="A339" s="17">
        <f t="shared" si="34"/>
        <v>324</v>
      </c>
      <c r="B339" s="1044"/>
      <c r="C339" s="1045"/>
      <c r="D339" s="38"/>
      <c r="E339" s="954"/>
      <c r="F339" s="53"/>
      <c r="G339" s="39"/>
      <c r="H339" s="1050"/>
      <c r="I339" s="684" t="str">
        <f t="shared" si="30"/>
        <v/>
      </c>
      <c r="J339" s="754">
        <f t="shared" si="31"/>
        <v>0</v>
      </c>
      <c r="K339" s="1256"/>
      <c r="L339" s="1255"/>
      <c r="M339" s="1255"/>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25">
      <c r="A340" s="17">
        <f t="shared" si="34"/>
        <v>325</v>
      </c>
      <c r="B340" s="1044"/>
      <c r="C340" s="1045"/>
      <c r="D340" s="38"/>
      <c r="E340" s="954"/>
      <c r="F340" s="53"/>
      <c r="G340" s="39"/>
      <c r="H340" s="1050"/>
      <c r="I340" s="684" t="str">
        <f t="shared" si="30"/>
        <v/>
      </c>
      <c r="J340" s="754">
        <f t="shared" si="31"/>
        <v>0</v>
      </c>
      <c r="K340" s="1256"/>
      <c r="L340" s="1255"/>
      <c r="M340" s="1255"/>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25">
      <c r="A341" s="17">
        <f t="shared" si="34"/>
        <v>326</v>
      </c>
      <c r="B341" s="1044"/>
      <c r="C341" s="1045"/>
      <c r="D341" s="38"/>
      <c r="E341" s="954"/>
      <c r="F341" s="53"/>
      <c r="G341" s="39"/>
      <c r="H341" s="1050"/>
      <c r="I341" s="684" t="str">
        <f t="shared" si="30"/>
        <v/>
      </c>
      <c r="J341" s="754">
        <f t="shared" si="31"/>
        <v>0</v>
      </c>
      <c r="K341" s="1256"/>
      <c r="L341" s="1255"/>
      <c r="M341" s="1255"/>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25">
      <c r="A342" s="17">
        <f t="shared" si="34"/>
        <v>327</v>
      </c>
      <c r="B342" s="1044"/>
      <c r="C342" s="1045"/>
      <c r="D342" s="38"/>
      <c r="E342" s="954"/>
      <c r="F342" s="53"/>
      <c r="G342" s="39"/>
      <c r="H342" s="1050"/>
      <c r="I342" s="684" t="str">
        <f t="shared" si="30"/>
        <v/>
      </c>
      <c r="J342" s="754">
        <f t="shared" si="31"/>
        <v>0</v>
      </c>
      <c r="K342" s="1256"/>
      <c r="L342" s="1255"/>
      <c r="M342" s="1255"/>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25">
      <c r="A343" s="17">
        <f t="shared" si="34"/>
        <v>328</v>
      </c>
      <c r="B343" s="1044"/>
      <c r="C343" s="1045"/>
      <c r="D343" s="38"/>
      <c r="E343" s="954"/>
      <c r="F343" s="53"/>
      <c r="G343" s="39"/>
      <c r="H343" s="1050"/>
      <c r="I343" s="684" t="str">
        <f t="shared" si="30"/>
        <v/>
      </c>
      <c r="J343" s="754">
        <f t="shared" si="31"/>
        <v>0</v>
      </c>
      <c r="K343" s="1256"/>
      <c r="L343" s="1255"/>
      <c r="M343" s="1255"/>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25">
      <c r="A344" s="17">
        <f t="shared" si="34"/>
        <v>329</v>
      </c>
      <c r="B344" s="1044"/>
      <c r="C344" s="1045"/>
      <c r="D344" s="38"/>
      <c r="E344" s="954"/>
      <c r="F344" s="53"/>
      <c r="G344" s="39"/>
      <c r="H344" s="1050"/>
      <c r="I344" s="684" t="str">
        <f t="shared" si="30"/>
        <v/>
      </c>
      <c r="J344" s="754">
        <f t="shared" si="31"/>
        <v>0</v>
      </c>
      <c r="K344" s="1256"/>
      <c r="L344" s="1255"/>
      <c r="M344" s="1255"/>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25">
      <c r="A345" s="17">
        <f t="shared" si="34"/>
        <v>330</v>
      </c>
      <c r="B345" s="1044"/>
      <c r="C345" s="1045"/>
      <c r="D345" s="38"/>
      <c r="E345" s="954"/>
      <c r="F345" s="53"/>
      <c r="G345" s="39"/>
      <c r="H345" s="1050"/>
      <c r="I345" s="684" t="str">
        <f t="shared" si="30"/>
        <v/>
      </c>
      <c r="J345" s="754">
        <f t="shared" si="31"/>
        <v>0</v>
      </c>
      <c r="K345" s="1256"/>
      <c r="L345" s="1255"/>
      <c r="M345" s="1255"/>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25">
      <c r="A346" s="17">
        <f t="shared" si="34"/>
        <v>331</v>
      </c>
      <c r="B346" s="1044"/>
      <c r="C346" s="1045"/>
      <c r="D346" s="38"/>
      <c r="E346" s="954"/>
      <c r="F346" s="53"/>
      <c r="G346" s="39"/>
      <c r="H346" s="1050"/>
      <c r="I346" s="684" t="str">
        <f t="shared" si="30"/>
        <v/>
      </c>
      <c r="J346" s="754">
        <f t="shared" si="31"/>
        <v>0</v>
      </c>
      <c r="K346" s="1256"/>
      <c r="L346" s="1255"/>
      <c r="M346" s="1255"/>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25">
      <c r="A347" s="17">
        <f t="shared" si="34"/>
        <v>332</v>
      </c>
      <c r="B347" s="1044"/>
      <c r="C347" s="1045"/>
      <c r="D347" s="38"/>
      <c r="E347" s="954"/>
      <c r="F347" s="53"/>
      <c r="G347" s="39"/>
      <c r="H347" s="1050"/>
      <c r="I347" s="684" t="str">
        <f t="shared" si="30"/>
        <v/>
      </c>
      <c r="J347" s="754">
        <f t="shared" si="31"/>
        <v>0</v>
      </c>
      <c r="K347" s="1256"/>
      <c r="L347" s="1255"/>
      <c r="M347" s="1255"/>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25">
      <c r="A348" s="17">
        <f t="shared" si="34"/>
        <v>333</v>
      </c>
      <c r="B348" s="1044"/>
      <c r="C348" s="1045"/>
      <c r="D348" s="38"/>
      <c r="E348" s="954"/>
      <c r="F348" s="53"/>
      <c r="G348" s="39"/>
      <c r="H348" s="1050"/>
      <c r="I348" s="684" t="str">
        <f t="shared" si="30"/>
        <v/>
      </c>
      <c r="J348" s="754">
        <f t="shared" si="31"/>
        <v>0</v>
      </c>
      <c r="K348" s="1256"/>
      <c r="L348" s="1255"/>
      <c r="M348" s="1255"/>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25">
      <c r="A349" s="17">
        <f t="shared" si="34"/>
        <v>334</v>
      </c>
      <c r="B349" s="1044"/>
      <c r="C349" s="1045"/>
      <c r="D349" s="38"/>
      <c r="E349" s="954"/>
      <c r="F349" s="53"/>
      <c r="G349" s="39"/>
      <c r="H349" s="1050"/>
      <c r="I349" s="684" t="str">
        <f t="shared" si="30"/>
        <v/>
      </c>
      <c r="J349" s="754">
        <f t="shared" si="31"/>
        <v>0</v>
      </c>
      <c r="K349" s="1256"/>
      <c r="L349" s="1255"/>
      <c r="M349" s="1255"/>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25">
      <c r="A350" s="17">
        <f t="shared" si="34"/>
        <v>335</v>
      </c>
      <c r="B350" s="1044"/>
      <c r="C350" s="1045"/>
      <c r="D350" s="38"/>
      <c r="E350" s="954"/>
      <c r="F350" s="53"/>
      <c r="G350" s="39"/>
      <c r="H350" s="1050"/>
      <c r="I350" s="684" t="str">
        <f t="shared" si="30"/>
        <v/>
      </c>
      <c r="J350" s="754">
        <f t="shared" si="31"/>
        <v>0</v>
      </c>
      <c r="K350" s="1256"/>
      <c r="L350" s="1255"/>
      <c r="M350" s="1255"/>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25">
      <c r="A351" s="17">
        <f t="shared" si="34"/>
        <v>336</v>
      </c>
      <c r="B351" s="1044"/>
      <c r="C351" s="1045"/>
      <c r="D351" s="38"/>
      <c r="E351" s="954"/>
      <c r="F351" s="53"/>
      <c r="G351" s="39"/>
      <c r="H351" s="1050"/>
      <c r="I351" s="684" t="str">
        <f t="shared" si="30"/>
        <v/>
      </c>
      <c r="J351" s="754">
        <f t="shared" si="31"/>
        <v>0</v>
      </c>
      <c r="K351" s="1256"/>
      <c r="L351" s="1255"/>
      <c r="M351" s="1255"/>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25">
      <c r="A352" s="17">
        <f t="shared" si="34"/>
        <v>337</v>
      </c>
      <c r="B352" s="1044"/>
      <c r="C352" s="1045"/>
      <c r="D352" s="38"/>
      <c r="E352" s="954"/>
      <c r="F352" s="53"/>
      <c r="G352" s="39"/>
      <c r="H352" s="1050"/>
      <c r="I352" s="684" t="str">
        <f t="shared" si="30"/>
        <v/>
      </c>
      <c r="J352" s="754">
        <f t="shared" si="31"/>
        <v>0</v>
      </c>
      <c r="K352" s="1256"/>
      <c r="L352" s="1255"/>
      <c r="M352" s="1255"/>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25">
      <c r="A353" s="17">
        <f t="shared" si="34"/>
        <v>338</v>
      </c>
      <c r="B353" s="1044"/>
      <c r="C353" s="1045"/>
      <c r="D353" s="38"/>
      <c r="E353" s="954"/>
      <c r="F353" s="53"/>
      <c r="G353" s="39"/>
      <c r="H353" s="1050"/>
      <c r="I353" s="684" t="str">
        <f t="shared" si="30"/>
        <v/>
      </c>
      <c r="J353" s="754">
        <f t="shared" si="31"/>
        <v>0</v>
      </c>
      <c r="K353" s="1256"/>
      <c r="L353" s="1255"/>
      <c r="M353" s="1255"/>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25">
      <c r="A354" s="17">
        <f t="shared" si="34"/>
        <v>339</v>
      </c>
      <c r="B354" s="1044"/>
      <c r="C354" s="1045"/>
      <c r="D354" s="38"/>
      <c r="E354" s="954"/>
      <c r="F354" s="53"/>
      <c r="G354" s="39"/>
      <c r="H354" s="1050"/>
      <c r="I354" s="684" t="str">
        <f t="shared" si="30"/>
        <v/>
      </c>
      <c r="J354" s="754">
        <f t="shared" si="31"/>
        <v>0</v>
      </c>
      <c r="K354" s="1256"/>
      <c r="L354" s="1255"/>
      <c r="M354" s="1255"/>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25">
      <c r="A355" s="17">
        <f t="shared" si="34"/>
        <v>340</v>
      </c>
      <c r="B355" s="1044"/>
      <c r="C355" s="1045"/>
      <c r="D355" s="38"/>
      <c r="E355" s="954"/>
      <c r="F355" s="53"/>
      <c r="G355" s="39"/>
      <c r="H355" s="1050"/>
      <c r="I355" s="684" t="str">
        <f t="shared" si="30"/>
        <v/>
      </c>
      <c r="J355" s="754">
        <f t="shared" si="31"/>
        <v>0</v>
      </c>
      <c r="K355" s="1256"/>
      <c r="L355" s="1255"/>
      <c r="M355" s="1255"/>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25">
      <c r="A356" s="17">
        <f t="shared" si="34"/>
        <v>341</v>
      </c>
      <c r="B356" s="1044"/>
      <c r="C356" s="1045"/>
      <c r="D356" s="38"/>
      <c r="E356" s="954"/>
      <c r="F356" s="53"/>
      <c r="G356" s="39"/>
      <c r="H356" s="1050"/>
      <c r="I356" s="684" t="str">
        <f t="shared" si="30"/>
        <v/>
      </c>
      <c r="J356" s="754">
        <f t="shared" si="31"/>
        <v>0</v>
      </c>
      <c r="K356" s="1256"/>
      <c r="L356" s="1255"/>
      <c r="M356" s="1255"/>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25">
      <c r="A357" s="17">
        <f t="shared" si="34"/>
        <v>342</v>
      </c>
      <c r="B357" s="1044"/>
      <c r="C357" s="1045"/>
      <c r="D357" s="38"/>
      <c r="E357" s="954"/>
      <c r="F357" s="53"/>
      <c r="G357" s="39"/>
      <c r="H357" s="1050"/>
      <c r="I357" s="684" t="str">
        <f t="shared" si="30"/>
        <v/>
      </c>
      <c r="J357" s="754">
        <f t="shared" si="31"/>
        <v>0</v>
      </c>
      <c r="K357" s="1256"/>
      <c r="L357" s="1255"/>
      <c r="M357" s="1255"/>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25">
      <c r="A358" s="17">
        <f t="shared" si="34"/>
        <v>343</v>
      </c>
      <c r="B358" s="1044"/>
      <c r="C358" s="1045"/>
      <c r="D358" s="38"/>
      <c r="E358" s="954"/>
      <c r="F358" s="53"/>
      <c r="G358" s="39"/>
      <c r="H358" s="1050"/>
      <c r="I358" s="684" t="str">
        <f t="shared" si="30"/>
        <v/>
      </c>
      <c r="J358" s="754">
        <f t="shared" si="31"/>
        <v>0</v>
      </c>
      <c r="K358" s="1256"/>
      <c r="L358" s="1255"/>
      <c r="M358" s="1255"/>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25">
      <c r="A359" s="17">
        <f t="shared" si="34"/>
        <v>344</v>
      </c>
      <c r="B359" s="1044"/>
      <c r="C359" s="1045"/>
      <c r="D359" s="38"/>
      <c r="E359" s="954"/>
      <c r="F359" s="53"/>
      <c r="G359" s="39"/>
      <c r="H359" s="1050"/>
      <c r="I359" s="684" t="str">
        <f t="shared" si="30"/>
        <v/>
      </c>
      <c r="J359" s="754">
        <f t="shared" si="31"/>
        <v>0</v>
      </c>
      <c r="K359" s="1256"/>
      <c r="L359" s="1255"/>
      <c r="M359" s="1255"/>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25">
      <c r="A360" s="17">
        <f t="shared" si="34"/>
        <v>345</v>
      </c>
      <c r="B360" s="1044"/>
      <c r="C360" s="1045"/>
      <c r="D360" s="38"/>
      <c r="E360" s="954"/>
      <c r="F360" s="53"/>
      <c r="G360" s="39"/>
      <c r="H360" s="1050"/>
      <c r="I360" s="684" t="str">
        <f t="shared" si="30"/>
        <v/>
      </c>
      <c r="J360" s="754">
        <f t="shared" si="31"/>
        <v>0</v>
      </c>
      <c r="K360" s="1256"/>
      <c r="L360" s="1255"/>
      <c r="M360" s="1255"/>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25">
      <c r="A361" s="17">
        <f t="shared" si="34"/>
        <v>346</v>
      </c>
      <c r="B361" s="1044"/>
      <c r="C361" s="1045"/>
      <c r="D361" s="38"/>
      <c r="E361" s="954"/>
      <c r="F361" s="53"/>
      <c r="G361" s="39"/>
      <c r="H361" s="1050"/>
      <c r="I361" s="684" t="str">
        <f t="shared" si="30"/>
        <v/>
      </c>
      <c r="J361" s="754">
        <f t="shared" si="31"/>
        <v>0</v>
      </c>
      <c r="K361" s="1256"/>
      <c r="L361" s="1255"/>
      <c r="M361" s="1255"/>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25">
      <c r="A362" s="17">
        <f t="shared" si="34"/>
        <v>347</v>
      </c>
      <c r="B362" s="1044"/>
      <c r="C362" s="1045"/>
      <c r="D362" s="38"/>
      <c r="E362" s="954"/>
      <c r="F362" s="53"/>
      <c r="G362" s="39"/>
      <c r="H362" s="1050"/>
      <c r="I362" s="684" t="str">
        <f t="shared" si="30"/>
        <v/>
      </c>
      <c r="J362" s="754">
        <f t="shared" si="31"/>
        <v>0</v>
      </c>
      <c r="K362" s="1256"/>
      <c r="L362" s="1255"/>
      <c r="M362" s="1255"/>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25">
      <c r="A363" s="17">
        <f t="shared" si="34"/>
        <v>348</v>
      </c>
      <c r="B363" s="1044"/>
      <c r="C363" s="1045"/>
      <c r="D363" s="38"/>
      <c r="E363" s="954"/>
      <c r="F363" s="53"/>
      <c r="G363" s="39"/>
      <c r="H363" s="1050"/>
      <c r="I363" s="684" t="str">
        <f t="shared" si="30"/>
        <v/>
      </c>
      <c r="J363" s="754">
        <f t="shared" si="31"/>
        <v>0</v>
      </c>
      <c r="K363" s="1256"/>
      <c r="L363" s="1255"/>
      <c r="M363" s="1255"/>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25">
      <c r="A364" s="17">
        <f t="shared" si="34"/>
        <v>349</v>
      </c>
      <c r="B364" s="1044"/>
      <c r="C364" s="1045"/>
      <c r="D364" s="38"/>
      <c r="E364" s="954"/>
      <c r="F364" s="53"/>
      <c r="G364" s="39"/>
      <c r="H364" s="1050"/>
      <c r="I364" s="684" t="str">
        <f t="shared" si="30"/>
        <v/>
      </c>
      <c r="J364" s="754">
        <f t="shared" si="31"/>
        <v>0</v>
      </c>
      <c r="K364" s="1256"/>
      <c r="L364" s="1255"/>
      <c r="M364" s="1255"/>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25">
      <c r="A365" s="17">
        <f t="shared" si="34"/>
        <v>350</v>
      </c>
      <c r="B365" s="1044"/>
      <c r="C365" s="1045"/>
      <c r="D365" s="38"/>
      <c r="E365" s="954"/>
      <c r="F365" s="53"/>
      <c r="G365" s="39"/>
      <c r="H365" s="1050"/>
      <c r="I365" s="684" t="str">
        <f t="shared" si="30"/>
        <v/>
      </c>
      <c r="J365" s="754">
        <f t="shared" si="31"/>
        <v>0</v>
      </c>
      <c r="K365" s="1256"/>
      <c r="L365" s="1255"/>
      <c r="M365" s="1255"/>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25">
      <c r="A366" s="17">
        <f t="shared" si="34"/>
        <v>351</v>
      </c>
      <c r="B366" s="1044"/>
      <c r="C366" s="1045"/>
      <c r="D366" s="38"/>
      <c r="E366" s="954"/>
      <c r="F366" s="53"/>
      <c r="G366" s="39"/>
      <c r="H366" s="1050"/>
      <c r="I366" s="684" t="str">
        <f t="shared" si="30"/>
        <v/>
      </c>
      <c r="J366" s="754">
        <f t="shared" si="31"/>
        <v>0</v>
      </c>
      <c r="K366" s="1256"/>
      <c r="L366" s="1255"/>
      <c r="M366" s="1255"/>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25">
      <c r="A367" s="17">
        <f t="shared" si="34"/>
        <v>352</v>
      </c>
      <c r="B367" s="1044"/>
      <c r="C367" s="1045"/>
      <c r="D367" s="38"/>
      <c r="E367" s="954"/>
      <c r="F367" s="53"/>
      <c r="G367" s="39"/>
      <c r="H367" s="1050"/>
      <c r="I367" s="684" t="str">
        <f t="shared" si="30"/>
        <v/>
      </c>
      <c r="J367" s="754">
        <f t="shared" si="31"/>
        <v>0</v>
      </c>
      <c r="K367" s="1256"/>
      <c r="L367" s="1255"/>
      <c r="M367" s="1255"/>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25">
      <c r="A368" s="17">
        <f t="shared" si="34"/>
        <v>353</v>
      </c>
      <c r="B368" s="1044"/>
      <c r="C368" s="1045"/>
      <c r="D368" s="38"/>
      <c r="E368" s="954"/>
      <c r="F368" s="53"/>
      <c r="G368" s="39"/>
      <c r="H368" s="1050"/>
      <c r="I368" s="684" t="str">
        <f t="shared" si="30"/>
        <v/>
      </c>
      <c r="J368" s="754">
        <f t="shared" si="31"/>
        <v>0</v>
      </c>
      <c r="K368" s="1256"/>
      <c r="L368" s="1255"/>
      <c r="M368" s="1255"/>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25">
      <c r="A369" s="17">
        <f t="shared" si="34"/>
        <v>354</v>
      </c>
      <c r="B369" s="1044"/>
      <c r="C369" s="1045"/>
      <c r="D369" s="38"/>
      <c r="E369" s="954"/>
      <c r="F369" s="53"/>
      <c r="G369" s="39"/>
      <c r="H369" s="1050"/>
      <c r="I369" s="684" t="str">
        <f t="shared" si="30"/>
        <v/>
      </c>
      <c r="J369" s="754">
        <f t="shared" si="31"/>
        <v>0</v>
      </c>
      <c r="K369" s="1256"/>
      <c r="L369" s="1255"/>
      <c r="M369" s="1255"/>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25">
      <c r="A370" s="17">
        <f t="shared" si="34"/>
        <v>355</v>
      </c>
      <c r="B370" s="1044"/>
      <c r="C370" s="1045"/>
      <c r="D370" s="38"/>
      <c r="E370" s="954"/>
      <c r="F370" s="53"/>
      <c r="G370" s="39"/>
      <c r="H370" s="1050"/>
      <c r="I370" s="684" t="str">
        <f t="shared" si="30"/>
        <v/>
      </c>
      <c r="J370" s="754">
        <f t="shared" si="31"/>
        <v>0</v>
      </c>
      <c r="K370" s="1256"/>
      <c r="L370" s="1255"/>
      <c r="M370" s="1255"/>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25">
      <c r="A371" s="17">
        <f t="shared" si="34"/>
        <v>356</v>
      </c>
      <c r="B371" s="1044"/>
      <c r="C371" s="1045"/>
      <c r="D371" s="38"/>
      <c r="E371" s="954"/>
      <c r="F371" s="53"/>
      <c r="G371" s="39"/>
      <c r="H371" s="1050"/>
      <c r="I371" s="684" t="str">
        <f t="shared" si="30"/>
        <v/>
      </c>
      <c r="J371" s="754">
        <f t="shared" si="31"/>
        <v>0</v>
      </c>
      <c r="K371" s="1256"/>
      <c r="L371" s="1255"/>
      <c r="M371" s="1255"/>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25">
      <c r="A372" s="17">
        <f t="shared" si="34"/>
        <v>357</v>
      </c>
      <c r="B372" s="1044"/>
      <c r="C372" s="1045"/>
      <c r="D372" s="38"/>
      <c r="E372" s="954"/>
      <c r="F372" s="53"/>
      <c r="G372" s="39"/>
      <c r="H372" s="1050"/>
      <c r="I372" s="684" t="str">
        <f t="shared" si="30"/>
        <v/>
      </c>
      <c r="J372" s="754">
        <f t="shared" si="31"/>
        <v>0</v>
      </c>
      <c r="K372" s="1256"/>
      <c r="L372" s="1255"/>
      <c r="M372" s="1255"/>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25">
      <c r="A373" s="17">
        <f t="shared" si="34"/>
        <v>358</v>
      </c>
      <c r="B373" s="1044"/>
      <c r="C373" s="1045"/>
      <c r="D373" s="38"/>
      <c r="E373" s="954"/>
      <c r="F373" s="53"/>
      <c r="G373" s="39"/>
      <c r="H373" s="1050"/>
      <c r="I373" s="684" t="str">
        <f t="shared" si="30"/>
        <v/>
      </c>
      <c r="J373" s="754">
        <f t="shared" si="31"/>
        <v>0</v>
      </c>
      <c r="K373" s="1256"/>
      <c r="L373" s="1255"/>
      <c r="M373" s="1255"/>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25">
      <c r="A374" s="17">
        <f t="shared" si="34"/>
        <v>359</v>
      </c>
      <c r="B374" s="1044"/>
      <c r="C374" s="1045"/>
      <c r="D374" s="38"/>
      <c r="E374" s="954"/>
      <c r="F374" s="53"/>
      <c r="G374" s="39"/>
      <c r="H374" s="1050"/>
      <c r="I374" s="684" t="str">
        <f t="shared" si="30"/>
        <v/>
      </c>
      <c r="J374" s="754">
        <f t="shared" si="31"/>
        <v>0</v>
      </c>
      <c r="K374" s="1256"/>
      <c r="L374" s="1255"/>
      <c r="M374" s="1255"/>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25">
      <c r="A375" s="17">
        <f t="shared" si="34"/>
        <v>360</v>
      </c>
      <c r="B375" s="1044"/>
      <c r="C375" s="1045"/>
      <c r="D375" s="38"/>
      <c r="E375" s="954"/>
      <c r="F375" s="53"/>
      <c r="G375" s="39"/>
      <c r="H375" s="1050"/>
      <c r="I375" s="684" t="str">
        <f t="shared" si="30"/>
        <v/>
      </c>
      <c r="J375" s="754">
        <f t="shared" si="31"/>
        <v>0</v>
      </c>
      <c r="K375" s="1256"/>
      <c r="L375" s="1255"/>
      <c r="M375" s="1255"/>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25">
      <c r="A376" s="17">
        <f t="shared" si="34"/>
        <v>361</v>
      </c>
      <c r="B376" s="1044"/>
      <c r="C376" s="1045"/>
      <c r="D376" s="38"/>
      <c r="E376" s="954"/>
      <c r="F376" s="53"/>
      <c r="G376" s="39"/>
      <c r="H376" s="1050"/>
      <c r="I376" s="684" t="str">
        <f t="shared" si="30"/>
        <v/>
      </c>
      <c r="J376" s="754">
        <f t="shared" si="31"/>
        <v>0</v>
      </c>
      <c r="K376" s="1256"/>
      <c r="L376" s="1255"/>
      <c r="M376" s="1255"/>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25">
      <c r="A377" s="17">
        <f t="shared" si="34"/>
        <v>362</v>
      </c>
      <c r="B377" s="1044"/>
      <c r="C377" s="1045"/>
      <c r="D377" s="38"/>
      <c r="E377" s="954"/>
      <c r="F377" s="53"/>
      <c r="G377" s="39"/>
      <c r="H377" s="1050"/>
      <c r="I377" s="684" t="str">
        <f t="shared" si="30"/>
        <v/>
      </c>
      <c r="J377" s="754">
        <f t="shared" si="31"/>
        <v>0</v>
      </c>
      <c r="K377" s="1256"/>
      <c r="L377" s="1255"/>
      <c r="M377" s="1255"/>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25">
      <c r="A378" s="17">
        <f t="shared" si="34"/>
        <v>363</v>
      </c>
      <c r="B378" s="1044"/>
      <c r="C378" s="1045"/>
      <c r="D378" s="38"/>
      <c r="E378" s="954"/>
      <c r="F378" s="53"/>
      <c r="G378" s="39"/>
      <c r="H378" s="1050"/>
      <c r="I378" s="684" t="str">
        <f t="shared" si="30"/>
        <v/>
      </c>
      <c r="J378" s="754">
        <f t="shared" si="31"/>
        <v>0</v>
      </c>
      <c r="K378" s="1256"/>
      <c r="L378" s="1255"/>
      <c r="M378" s="1255"/>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25">
      <c r="A379" s="17">
        <f t="shared" si="34"/>
        <v>364</v>
      </c>
      <c r="B379" s="1044"/>
      <c r="C379" s="1045"/>
      <c r="D379" s="38"/>
      <c r="E379" s="954"/>
      <c r="F379" s="53"/>
      <c r="G379" s="39"/>
      <c r="H379" s="1050"/>
      <c r="I379" s="684" t="str">
        <f t="shared" si="30"/>
        <v/>
      </c>
      <c r="J379" s="754">
        <f t="shared" si="31"/>
        <v>0</v>
      </c>
      <c r="K379" s="1256"/>
      <c r="L379" s="1255"/>
      <c r="M379" s="1255"/>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25">
      <c r="A380" s="17">
        <f t="shared" si="34"/>
        <v>365</v>
      </c>
      <c r="B380" s="1044"/>
      <c r="C380" s="1045"/>
      <c r="D380" s="38"/>
      <c r="E380" s="954"/>
      <c r="F380" s="53"/>
      <c r="G380" s="39"/>
      <c r="H380" s="1050"/>
      <c r="I380" s="684" t="str">
        <f t="shared" si="30"/>
        <v/>
      </c>
      <c r="J380" s="754">
        <f t="shared" si="31"/>
        <v>0</v>
      </c>
      <c r="K380" s="1256"/>
      <c r="L380" s="1255"/>
      <c r="M380" s="1255"/>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25">
      <c r="A381" s="17">
        <f t="shared" si="34"/>
        <v>366</v>
      </c>
      <c r="B381" s="1044"/>
      <c r="C381" s="1045"/>
      <c r="D381" s="38"/>
      <c r="E381" s="954"/>
      <c r="F381" s="53"/>
      <c r="G381" s="39"/>
      <c r="H381" s="1050"/>
      <c r="I381" s="684" t="str">
        <f t="shared" si="30"/>
        <v/>
      </c>
      <c r="J381" s="754">
        <f t="shared" si="31"/>
        <v>0</v>
      </c>
      <c r="K381" s="1256"/>
      <c r="L381" s="1255"/>
      <c r="M381" s="1255"/>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25">
      <c r="A382" s="17">
        <f t="shared" si="34"/>
        <v>367</v>
      </c>
      <c r="B382" s="1044"/>
      <c r="C382" s="1045"/>
      <c r="D382" s="38"/>
      <c r="E382" s="954"/>
      <c r="F382" s="53"/>
      <c r="G382" s="39"/>
      <c r="H382" s="1050"/>
      <c r="I382" s="684" t="str">
        <f t="shared" si="30"/>
        <v/>
      </c>
      <c r="J382" s="754">
        <f t="shared" si="31"/>
        <v>0</v>
      </c>
      <c r="K382" s="1256"/>
      <c r="L382" s="1255"/>
      <c r="M382" s="1255"/>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25">
      <c r="A383" s="17">
        <f t="shared" si="34"/>
        <v>368</v>
      </c>
      <c r="B383" s="1044"/>
      <c r="C383" s="1045"/>
      <c r="D383" s="38"/>
      <c r="E383" s="954"/>
      <c r="F383" s="53"/>
      <c r="G383" s="39"/>
      <c r="H383" s="1050"/>
      <c r="I383" s="684" t="str">
        <f t="shared" si="30"/>
        <v/>
      </c>
      <c r="J383" s="754">
        <f t="shared" si="31"/>
        <v>0</v>
      </c>
      <c r="K383" s="1256"/>
      <c r="L383" s="1255"/>
      <c r="M383" s="1255"/>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25">
      <c r="A384" s="17">
        <f t="shared" si="34"/>
        <v>369</v>
      </c>
      <c r="B384" s="1044"/>
      <c r="C384" s="1045"/>
      <c r="D384" s="38"/>
      <c r="E384" s="954"/>
      <c r="F384" s="53"/>
      <c r="G384" s="39"/>
      <c r="H384" s="1050"/>
      <c r="I384" s="684" t="str">
        <f t="shared" si="30"/>
        <v/>
      </c>
      <c r="J384" s="754">
        <f t="shared" si="31"/>
        <v>0</v>
      </c>
      <c r="K384" s="1256"/>
      <c r="L384" s="1255"/>
      <c r="M384" s="1255"/>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25">
      <c r="A385" s="17">
        <f t="shared" si="34"/>
        <v>370</v>
      </c>
      <c r="B385" s="1044"/>
      <c r="C385" s="1045"/>
      <c r="D385" s="38"/>
      <c r="E385" s="954"/>
      <c r="F385" s="53"/>
      <c r="G385" s="39"/>
      <c r="H385" s="1050"/>
      <c r="I385" s="684" t="str">
        <f t="shared" si="30"/>
        <v/>
      </c>
      <c r="J385" s="754">
        <f t="shared" si="31"/>
        <v>0</v>
      </c>
      <c r="K385" s="1256"/>
      <c r="L385" s="1255"/>
      <c r="M385" s="1255"/>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25">
      <c r="A386" s="17">
        <f t="shared" si="34"/>
        <v>371</v>
      </c>
      <c r="B386" s="1044"/>
      <c r="C386" s="1045"/>
      <c r="D386" s="38"/>
      <c r="E386" s="954"/>
      <c r="F386" s="53"/>
      <c r="G386" s="39"/>
      <c r="H386" s="1050"/>
      <c r="I386" s="684" t="str">
        <f t="shared" si="30"/>
        <v/>
      </c>
      <c r="J386" s="754">
        <f t="shared" si="31"/>
        <v>0</v>
      </c>
      <c r="K386" s="1256"/>
      <c r="L386" s="1255"/>
      <c r="M386" s="1255"/>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25">
      <c r="A387" s="17">
        <f t="shared" si="34"/>
        <v>372</v>
      </c>
      <c r="B387" s="1044"/>
      <c r="C387" s="1045"/>
      <c r="D387" s="38"/>
      <c r="E387" s="954"/>
      <c r="F387" s="53"/>
      <c r="G387" s="39"/>
      <c r="H387" s="1050"/>
      <c r="I387" s="684" t="str">
        <f t="shared" si="30"/>
        <v/>
      </c>
      <c r="J387" s="754">
        <f t="shared" si="31"/>
        <v>0</v>
      </c>
      <c r="K387" s="1256"/>
      <c r="L387" s="1255"/>
      <c r="M387" s="1255"/>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25">
      <c r="A388" s="17">
        <f t="shared" si="34"/>
        <v>373</v>
      </c>
      <c r="B388" s="1044"/>
      <c r="C388" s="1045"/>
      <c r="D388" s="38"/>
      <c r="E388" s="954"/>
      <c r="F388" s="53"/>
      <c r="G388" s="39"/>
      <c r="H388" s="1050"/>
      <c r="I388" s="684" t="str">
        <f t="shared" si="30"/>
        <v/>
      </c>
      <c r="J388" s="754">
        <f t="shared" si="31"/>
        <v>0</v>
      </c>
      <c r="K388" s="1256"/>
      <c r="L388" s="1255"/>
      <c r="M388" s="1255"/>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25">
      <c r="A389" s="17">
        <f t="shared" si="34"/>
        <v>374</v>
      </c>
      <c r="B389" s="1044"/>
      <c r="C389" s="1045"/>
      <c r="D389" s="38"/>
      <c r="E389" s="954"/>
      <c r="F389" s="53"/>
      <c r="G389" s="39"/>
      <c r="H389" s="1050"/>
      <c r="I389" s="684" t="str">
        <f t="shared" si="30"/>
        <v/>
      </c>
      <c r="J389" s="754">
        <f t="shared" si="31"/>
        <v>0</v>
      </c>
      <c r="K389" s="1256"/>
      <c r="L389" s="1255"/>
      <c r="M389" s="1255"/>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25">
      <c r="A390" s="17">
        <f t="shared" si="34"/>
        <v>375</v>
      </c>
      <c r="B390" s="1044"/>
      <c r="C390" s="1045"/>
      <c r="D390" s="38"/>
      <c r="E390" s="954"/>
      <c r="F390" s="53"/>
      <c r="G390" s="39"/>
      <c r="H390" s="1050"/>
      <c r="I390" s="684" t="str">
        <f t="shared" si="30"/>
        <v/>
      </c>
      <c r="J390" s="754">
        <f t="shared" si="31"/>
        <v>0</v>
      </c>
      <c r="K390" s="1256"/>
      <c r="L390" s="1255"/>
      <c r="M390" s="1255"/>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25">
      <c r="A391" s="17">
        <f t="shared" si="34"/>
        <v>376</v>
      </c>
      <c r="B391" s="1044"/>
      <c r="C391" s="1045"/>
      <c r="D391" s="38"/>
      <c r="E391" s="954"/>
      <c r="F391" s="53"/>
      <c r="G391" s="39"/>
      <c r="H391" s="1050"/>
      <c r="I391" s="684" t="str">
        <f t="shared" si="30"/>
        <v/>
      </c>
      <c r="J391" s="754">
        <f t="shared" si="31"/>
        <v>0</v>
      </c>
      <c r="K391" s="1256"/>
      <c r="L391" s="1255"/>
      <c r="M391" s="1255"/>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25">
      <c r="A392" s="17">
        <f t="shared" si="34"/>
        <v>377</v>
      </c>
      <c r="B392" s="1044"/>
      <c r="C392" s="1045"/>
      <c r="D392" s="38"/>
      <c r="E392" s="954"/>
      <c r="F392" s="53"/>
      <c r="G392" s="39"/>
      <c r="H392" s="1050"/>
      <c r="I392" s="684" t="str">
        <f t="shared" si="30"/>
        <v/>
      </c>
      <c r="J392" s="754">
        <f t="shared" si="31"/>
        <v>0</v>
      </c>
      <c r="K392" s="1256"/>
      <c r="L392" s="1255"/>
      <c r="M392" s="1255"/>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25">
      <c r="A393" s="17">
        <f t="shared" si="34"/>
        <v>378</v>
      </c>
      <c r="B393" s="1044"/>
      <c r="C393" s="1045"/>
      <c r="D393" s="38"/>
      <c r="E393" s="954"/>
      <c r="F393" s="53"/>
      <c r="G393" s="39"/>
      <c r="H393" s="1050"/>
      <c r="I393" s="684" t="str">
        <f t="shared" si="30"/>
        <v/>
      </c>
      <c r="J393" s="754">
        <f t="shared" si="31"/>
        <v>0</v>
      </c>
      <c r="K393" s="1256"/>
      <c r="L393" s="1255"/>
      <c r="M393" s="1255"/>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25">
      <c r="A394" s="17">
        <f t="shared" si="34"/>
        <v>379</v>
      </c>
      <c r="B394" s="1044"/>
      <c r="C394" s="1045"/>
      <c r="D394" s="38"/>
      <c r="E394" s="954"/>
      <c r="F394" s="53"/>
      <c r="G394" s="39"/>
      <c r="H394" s="1050"/>
      <c r="I394" s="684" t="str">
        <f t="shared" si="30"/>
        <v/>
      </c>
      <c r="J394" s="754">
        <f t="shared" si="31"/>
        <v>0</v>
      </c>
      <c r="K394" s="1256"/>
      <c r="L394" s="1255"/>
      <c r="M394" s="1255"/>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25">
      <c r="A395" s="17">
        <f t="shared" si="34"/>
        <v>380</v>
      </c>
      <c r="B395" s="1044"/>
      <c r="C395" s="1045"/>
      <c r="D395" s="38"/>
      <c r="E395" s="954"/>
      <c r="F395" s="53"/>
      <c r="G395" s="39"/>
      <c r="H395" s="1050"/>
      <c r="I395" s="684" t="str">
        <f t="shared" si="30"/>
        <v/>
      </c>
      <c r="J395" s="754">
        <f t="shared" si="31"/>
        <v>0</v>
      </c>
      <c r="K395" s="1256"/>
      <c r="L395" s="1255"/>
      <c r="M395" s="1255"/>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25">
      <c r="A396" s="17">
        <f t="shared" si="34"/>
        <v>381</v>
      </c>
      <c r="B396" s="1044"/>
      <c r="C396" s="1045"/>
      <c r="D396" s="38"/>
      <c r="E396" s="954"/>
      <c r="F396" s="53"/>
      <c r="G396" s="39"/>
      <c r="H396" s="1050"/>
      <c r="I396" s="684" t="str">
        <f t="shared" si="30"/>
        <v/>
      </c>
      <c r="J396" s="754">
        <f t="shared" si="31"/>
        <v>0</v>
      </c>
      <c r="K396" s="1256"/>
      <c r="L396" s="1255"/>
      <c r="M396" s="1255"/>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25">
      <c r="A397" s="17">
        <f t="shared" si="34"/>
        <v>382</v>
      </c>
      <c r="B397" s="1044"/>
      <c r="C397" s="1045"/>
      <c r="D397" s="38"/>
      <c r="E397" s="954"/>
      <c r="F397" s="53"/>
      <c r="G397" s="39"/>
      <c r="H397" s="1050"/>
      <c r="I397" s="684" t="str">
        <f t="shared" si="30"/>
        <v/>
      </c>
      <c r="J397" s="754">
        <f t="shared" si="31"/>
        <v>0</v>
      </c>
      <c r="K397" s="1256"/>
      <c r="L397" s="1255"/>
      <c r="M397" s="1255"/>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25">
      <c r="A398" s="17">
        <f t="shared" si="34"/>
        <v>383</v>
      </c>
      <c r="B398" s="1044"/>
      <c r="C398" s="1045"/>
      <c r="D398" s="38"/>
      <c r="E398" s="954"/>
      <c r="F398" s="53"/>
      <c r="G398" s="39"/>
      <c r="H398" s="1050"/>
      <c r="I398" s="684" t="str">
        <f t="shared" si="30"/>
        <v/>
      </c>
      <c r="J398" s="754">
        <f t="shared" si="31"/>
        <v>0</v>
      </c>
      <c r="K398" s="1256"/>
      <c r="L398" s="1255"/>
      <c r="M398" s="1255"/>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25">
      <c r="A399" s="17">
        <f t="shared" si="34"/>
        <v>384</v>
      </c>
      <c r="B399" s="1044"/>
      <c r="C399" s="1045"/>
      <c r="D399" s="38"/>
      <c r="E399" s="954"/>
      <c r="F399" s="53"/>
      <c r="G399" s="39"/>
      <c r="H399" s="1050"/>
      <c r="I399" s="684" t="str">
        <f t="shared" si="30"/>
        <v/>
      </c>
      <c r="J399" s="754">
        <f t="shared" si="31"/>
        <v>0</v>
      </c>
      <c r="K399" s="1256"/>
      <c r="L399" s="1255"/>
      <c r="M399" s="1255"/>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25">
      <c r="A400" s="17">
        <f t="shared" si="34"/>
        <v>385</v>
      </c>
      <c r="B400" s="1044"/>
      <c r="C400" s="1045"/>
      <c r="D400" s="38"/>
      <c r="E400" s="954"/>
      <c r="F400" s="53"/>
      <c r="G400" s="39"/>
      <c r="H400" s="1050"/>
      <c r="I400" s="684" t="str">
        <f t="shared" ref="I400:I463" si="36">LEFT(H400,4)</f>
        <v/>
      </c>
      <c r="J400" s="754">
        <f t="shared" ref="J400:J463" si="37">G400-BP400</f>
        <v>0</v>
      </c>
      <c r="K400" s="1256"/>
      <c r="L400" s="1255"/>
      <c r="M400" s="1255"/>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25">
      <c r="A401" s="17">
        <f t="shared" ref="A401:A464" si="40">$A400+1</f>
        <v>386</v>
      </c>
      <c r="B401" s="1044"/>
      <c r="C401" s="1045"/>
      <c r="D401" s="38"/>
      <c r="E401" s="954"/>
      <c r="F401" s="53"/>
      <c r="G401" s="39"/>
      <c r="H401" s="1050"/>
      <c r="I401" s="684" t="str">
        <f t="shared" si="36"/>
        <v/>
      </c>
      <c r="J401" s="754">
        <f t="shared" si="37"/>
        <v>0</v>
      </c>
      <c r="K401" s="1256"/>
      <c r="L401" s="1255"/>
      <c r="M401" s="1255"/>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25">
      <c r="A402" s="17">
        <f t="shared" si="40"/>
        <v>387</v>
      </c>
      <c r="B402" s="1044"/>
      <c r="C402" s="1045"/>
      <c r="D402" s="38"/>
      <c r="E402" s="954"/>
      <c r="F402" s="53"/>
      <c r="G402" s="39"/>
      <c r="H402" s="1050"/>
      <c r="I402" s="684" t="str">
        <f t="shared" si="36"/>
        <v/>
      </c>
      <c r="J402" s="754">
        <f t="shared" si="37"/>
        <v>0</v>
      </c>
      <c r="K402" s="1256"/>
      <c r="L402" s="1255"/>
      <c r="M402" s="1255"/>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25">
      <c r="A403" s="17">
        <f t="shared" si="40"/>
        <v>388</v>
      </c>
      <c r="B403" s="1044"/>
      <c r="C403" s="1045"/>
      <c r="D403" s="38"/>
      <c r="E403" s="954"/>
      <c r="F403" s="53"/>
      <c r="G403" s="39"/>
      <c r="H403" s="1050"/>
      <c r="I403" s="684" t="str">
        <f t="shared" si="36"/>
        <v/>
      </c>
      <c r="J403" s="754">
        <f t="shared" si="37"/>
        <v>0</v>
      </c>
      <c r="K403" s="1256"/>
      <c r="L403" s="1255"/>
      <c r="M403" s="1255"/>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25">
      <c r="A404" s="17">
        <f t="shared" si="40"/>
        <v>389</v>
      </c>
      <c r="B404" s="1044"/>
      <c r="C404" s="1045"/>
      <c r="D404" s="38"/>
      <c r="E404" s="954"/>
      <c r="F404" s="53"/>
      <c r="G404" s="39"/>
      <c r="H404" s="1050"/>
      <c r="I404" s="684" t="str">
        <f t="shared" si="36"/>
        <v/>
      </c>
      <c r="J404" s="754">
        <f t="shared" si="37"/>
        <v>0</v>
      </c>
      <c r="K404" s="1256"/>
      <c r="L404" s="1255"/>
      <c r="M404" s="1255"/>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25">
      <c r="A405" s="17">
        <f t="shared" si="40"/>
        <v>390</v>
      </c>
      <c r="B405" s="1044"/>
      <c r="C405" s="1045"/>
      <c r="D405" s="38"/>
      <c r="E405" s="954"/>
      <c r="F405" s="53"/>
      <c r="G405" s="39"/>
      <c r="H405" s="1050"/>
      <c r="I405" s="684" t="str">
        <f t="shared" si="36"/>
        <v/>
      </c>
      <c r="J405" s="754">
        <f t="shared" si="37"/>
        <v>0</v>
      </c>
      <c r="K405" s="1256"/>
      <c r="L405" s="1255"/>
      <c r="M405" s="1255"/>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25">
      <c r="A406" s="17">
        <f t="shared" si="40"/>
        <v>391</v>
      </c>
      <c r="B406" s="1044"/>
      <c r="C406" s="1045"/>
      <c r="D406" s="38"/>
      <c r="E406" s="954"/>
      <c r="F406" s="53"/>
      <c r="G406" s="39"/>
      <c r="H406" s="1050"/>
      <c r="I406" s="684" t="str">
        <f t="shared" si="36"/>
        <v/>
      </c>
      <c r="J406" s="754">
        <f t="shared" si="37"/>
        <v>0</v>
      </c>
      <c r="K406" s="1256"/>
      <c r="L406" s="1255"/>
      <c r="M406" s="1255"/>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25">
      <c r="A407" s="17">
        <f t="shared" si="40"/>
        <v>392</v>
      </c>
      <c r="B407" s="1044"/>
      <c r="C407" s="1045"/>
      <c r="D407" s="38"/>
      <c r="E407" s="954"/>
      <c r="F407" s="53"/>
      <c r="G407" s="39"/>
      <c r="H407" s="1050"/>
      <c r="I407" s="684" t="str">
        <f t="shared" si="36"/>
        <v/>
      </c>
      <c r="J407" s="754">
        <f t="shared" si="37"/>
        <v>0</v>
      </c>
      <c r="K407" s="1256"/>
      <c r="L407" s="1255"/>
      <c r="M407" s="1255"/>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25">
      <c r="A408" s="17">
        <f t="shared" si="40"/>
        <v>393</v>
      </c>
      <c r="B408" s="1044"/>
      <c r="C408" s="1045"/>
      <c r="D408" s="38"/>
      <c r="E408" s="954"/>
      <c r="F408" s="53"/>
      <c r="G408" s="39"/>
      <c r="H408" s="1050"/>
      <c r="I408" s="684" t="str">
        <f t="shared" si="36"/>
        <v/>
      </c>
      <c r="J408" s="754">
        <f t="shared" si="37"/>
        <v>0</v>
      </c>
      <c r="K408" s="1256"/>
      <c r="L408" s="1255"/>
      <c r="M408" s="1255"/>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25">
      <c r="A409" s="17">
        <f t="shared" si="40"/>
        <v>394</v>
      </c>
      <c r="B409" s="1044"/>
      <c r="C409" s="1045"/>
      <c r="D409" s="38"/>
      <c r="E409" s="954"/>
      <c r="F409" s="53"/>
      <c r="G409" s="39"/>
      <c r="H409" s="1050"/>
      <c r="I409" s="684" t="str">
        <f t="shared" si="36"/>
        <v/>
      </c>
      <c r="J409" s="754">
        <f t="shared" si="37"/>
        <v>0</v>
      </c>
      <c r="K409" s="1256"/>
      <c r="L409" s="1255"/>
      <c r="M409" s="1255"/>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25">
      <c r="A410" s="17">
        <f t="shared" si="40"/>
        <v>395</v>
      </c>
      <c r="B410" s="1044"/>
      <c r="C410" s="1045"/>
      <c r="D410" s="38"/>
      <c r="E410" s="954"/>
      <c r="F410" s="53"/>
      <c r="G410" s="39"/>
      <c r="H410" s="1050"/>
      <c r="I410" s="684" t="str">
        <f t="shared" si="36"/>
        <v/>
      </c>
      <c r="J410" s="754">
        <f t="shared" si="37"/>
        <v>0</v>
      </c>
      <c r="K410" s="1256"/>
      <c r="L410" s="1255"/>
      <c r="M410" s="1255"/>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25">
      <c r="A411" s="17">
        <f t="shared" si="40"/>
        <v>396</v>
      </c>
      <c r="B411" s="1044"/>
      <c r="C411" s="1045"/>
      <c r="D411" s="38"/>
      <c r="E411" s="954"/>
      <c r="F411" s="53"/>
      <c r="G411" s="39"/>
      <c r="H411" s="1050"/>
      <c r="I411" s="684" t="str">
        <f t="shared" si="36"/>
        <v/>
      </c>
      <c r="J411" s="754">
        <f t="shared" si="37"/>
        <v>0</v>
      </c>
      <c r="K411" s="1256"/>
      <c r="L411" s="1255"/>
      <c r="M411" s="1255"/>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25">
      <c r="A412" s="17">
        <f t="shared" si="40"/>
        <v>397</v>
      </c>
      <c r="B412" s="1044"/>
      <c r="C412" s="1045"/>
      <c r="D412" s="38"/>
      <c r="E412" s="954"/>
      <c r="F412" s="53"/>
      <c r="G412" s="39"/>
      <c r="H412" s="1050"/>
      <c r="I412" s="684" t="str">
        <f t="shared" si="36"/>
        <v/>
      </c>
      <c r="J412" s="754">
        <f t="shared" si="37"/>
        <v>0</v>
      </c>
      <c r="K412" s="1256"/>
      <c r="L412" s="1255"/>
      <c r="M412" s="1255"/>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25">
      <c r="A413" s="17">
        <f t="shared" si="40"/>
        <v>398</v>
      </c>
      <c r="B413" s="1044"/>
      <c r="C413" s="1045"/>
      <c r="D413" s="38"/>
      <c r="E413" s="954"/>
      <c r="F413" s="53"/>
      <c r="G413" s="39"/>
      <c r="H413" s="1050"/>
      <c r="I413" s="684" t="str">
        <f t="shared" si="36"/>
        <v/>
      </c>
      <c r="J413" s="754">
        <f t="shared" si="37"/>
        <v>0</v>
      </c>
      <c r="K413" s="1256"/>
      <c r="L413" s="1255"/>
      <c r="M413" s="1255"/>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25">
      <c r="A414" s="17">
        <f t="shared" si="40"/>
        <v>399</v>
      </c>
      <c r="B414" s="1044"/>
      <c r="C414" s="1045"/>
      <c r="D414" s="38"/>
      <c r="E414" s="954"/>
      <c r="F414" s="53"/>
      <c r="G414" s="39"/>
      <c r="H414" s="1050"/>
      <c r="I414" s="684" t="str">
        <f t="shared" si="36"/>
        <v/>
      </c>
      <c r="J414" s="754">
        <f t="shared" si="37"/>
        <v>0</v>
      </c>
      <c r="K414" s="1256"/>
      <c r="L414" s="1255"/>
      <c r="M414" s="1255"/>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25">
      <c r="A415" s="17">
        <f t="shared" si="40"/>
        <v>400</v>
      </c>
      <c r="B415" s="1044"/>
      <c r="C415" s="1045"/>
      <c r="D415" s="38"/>
      <c r="E415" s="954"/>
      <c r="F415" s="53"/>
      <c r="G415" s="39"/>
      <c r="H415" s="1050"/>
      <c r="I415" s="684" t="str">
        <f t="shared" si="36"/>
        <v/>
      </c>
      <c r="J415" s="754">
        <f t="shared" si="37"/>
        <v>0</v>
      </c>
      <c r="K415" s="1256"/>
      <c r="L415" s="1255"/>
      <c r="M415" s="1255"/>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25">
      <c r="A416" s="17">
        <f t="shared" si="40"/>
        <v>401</v>
      </c>
      <c r="B416" s="1044"/>
      <c r="C416" s="1045"/>
      <c r="D416" s="38"/>
      <c r="E416" s="954"/>
      <c r="F416" s="53"/>
      <c r="G416" s="39"/>
      <c r="H416" s="1050"/>
      <c r="I416" s="684" t="str">
        <f t="shared" si="36"/>
        <v/>
      </c>
      <c r="J416" s="754">
        <f t="shared" si="37"/>
        <v>0</v>
      </c>
      <c r="K416" s="1256"/>
      <c r="L416" s="1255"/>
      <c r="M416" s="1255"/>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25">
      <c r="A417" s="17">
        <f t="shared" si="40"/>
        <v>402</v>
      </c>
      <c r="B417" s="1044"/>
      <c r="C417" s="1045"/>
      <c r="D417" s="38"/>
      <c r="E417" s="954"/>
      <c r="F417" s="53"/>
      <c r="G417" s="39"/>
      <c r="H417" s="1050"/>
      <c r="I417" s="684" t="str">
        <f t="shared" si="36"/>
        <v/>
      </c>
      <c r="J417" s="754">
        <f t="shared" si="37"/>
        <v>0</v>
      </c>
      <c r="K417" s="1256"/>
      <c r="L417" s="1255"/>
      <c r="M417" s="1255"/>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25">
      <c r="A418" s="17">
        <f t="shared" si="40"/>
        <v>403</v>
      </c>
      <c r="B418" s="1044"/>
      <c r="C418" s="1045"/>
      <c r="D418" s="38"/>
      <c r="E418" s="954"/>
      <c r="F418" s="53"/>
      <c r="G418" s="39"/>
      <c r="H418" s="1050"/>
      <c r="I418" s="684" t="str">
        <f t="shared" si="36"/>
        <v/>
      </c>
      <c r="J418" s="754">
        <f t="shared" si="37"/>
        <v>0</v>
      </c>
      <c r="K418" s="1256"/>
      <c r="L418" s="1255"/>
      <c r="M418" s="1255"/>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25">
      <c r="A419" s="17">
        <f t="shared" si="40"/>
        <v>404</v>
      </c>
      <c r="B419" s="1044"/>
      <c r="C419" s="1045"/>
      <c r="D419" s="38"/>
      <c r="E419" s="954"/>
      <c r="F419" s="53"/>
      <c r="G419" s="39"/>
      <c r="H419" s="1050"/>
      <c r="I419" s="684" t="str">
        <f t="shared" si="36"/>
        <v/>
      </c>
      <c r="J419" s="754">
        <f t="shared" si="37"/>
        <v>0</v>
      </c>
      <c r="K419" s="1256"/>
      <c r="L419" s="1255"/>
      <c r="M419" s="1255"/>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25">
      <c r="A420" s="17">
        <f t="shared" si="40"/>
        <v>405</v>
      </c>
      <c r="B420" s="1044"/>
      <c r="C420" s="1045"/>
      <c r="D420" s="38"/>
      <c r="E420" s="954"/>
      <c r="F420" s="53"/>
      <c r="G420" s="39"/>
      <c r="H420" s="1050"/>
      <c r="I420" s="684" t="str">
        <f t="shared" si="36"/>
        <v/>
      </c>
      <c r="J420" s="754">
        <f t="shared" si="37"/>
        <v>0</v>
      </c>
      <c r="K420" s="1256"/>
      <c r="L420" s="1255"/>
      <c r="M420" s="1255"/>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25">
      <c r="A421" s="17">
        <f t="shared" si="40"/>
        <v>406</v>
      </c>
      <c r="B421" s="1044"/>
      <c r="C421" s="1045"/>
      <c r="D421" s="38"/>
      <c r="E421" s="954"/>
      <c r="F421" s="53"/>
      <c r="G421" s="39"/>
      <c r="H421" s="1050"/>
      <c r="I421" s="684" t="str">
        <f t="shared" si="36"/>
        <v/>
      </c>
      <c r="J421" s="754">
        <f t="shared" si="37"/>
        <v>0</v>
      </c>
      <c r="K421" s="1256"/>
      <c r="L421" s="1255"/>
      <c r="M421" s="1255"/>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25">
      <c r="A422" s="17">
        <f t="shared" si="40"/>
        <v>407</v>
      </c>
      <c r="B422" s="1044"/>
      <c r="C422" s="1045"/>
      <c r="D422" s="38"/>
      <c r="E422" s="954"/>
      <c r="F422" s="53"/>
      <c r="G422" s="39"/>
      <c r="H422" s="1050"/>
      <c r="I422" s="684" t="str">
        <f t="shared" si="36"/>
        <v/>
      </c>
      <c r="J422" s="754">
        <f t="shared" si="37"/>
        <v>0</v>
      </c>
      <c r="K422" s="1256"/>
      <c r="L422" s="1255"/>
      <c r="M422" s="1255"/>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25">
      <c r="A423" s="17">
        <f t="shared" si="40"/>
        <v>408</v>
      </c>
      <c r="B423" s="1044"/>
      <c r="C423" s="1045"/>
      <c r="D423" s="38"/>
      <c r="E423" s="954"/>
      <c r="F423" s="53"/>
      <c r="G423" s="39"/>
      <c r="H423" s="1050"/>
      <c r="I423" s="684" t="str">
        <f t="shared" si="36"/>
        <v/>
      </c>
      <c r="J423" s="754">
        <f t="shared" si="37"/>
        <v>0</v>
      </c>
      <c r="K423" s="1256"/>
      <c r="L423" s="1255"/>
      <c r="M423" s="1255"/>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25">
      <c r="A424" s="17">
        <f t="shared" si="40"/>
        <v>409</v>
      </c>
      <c r="B424" s="1044"/>
      <c r="C424" s="1045"/>
      <c r="D424" s="38"/>
      <c r="E424" s="954"/>
      <c r="F424" s="53"/>
      <c r="G424" s="39"/>
      <c r="H424" s="1050"/>
      <c r="I424" s="684" t="str">
        <f t="shared" si="36"/>
        <v/>
      </c>
      <c r="J424" s="754">
        <f t="shared" si="37"/>
        <v>0</v>
      </c>
      <c r="K424" s="1256"/>
      <c r="L424" s="1255"/>
      <c r="M424" s="1255"/>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25">
      <c r="A425" s="17">
        <f t="shared" si="40"/>
        <v>410</v>
      </c>
      <c r="B425" s="1044"/>
      <c r="C425" s="1045"/>
      <c r="D425" s="38"/>
      <c r="E425" s="954"/>
      <c r="F425" s="53"/>
      <c r="G425" s="39"/>
      <c r="H425" s="1050"/>
      <c r="I425" s="684" t="str">
        <f t="shared" si="36"/>
        <v/>
      </c>
      <c r="J425" s="754">
        <f t="shared" si="37"/>
        <v>0</v>
      </c>
      <c r="K425" s="1256"/>
      <c r="L425" s="1255"/>
      <c r="M425" s="1255"/>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25">
      <c r="A426" s="17">
        <f t="shared" si="40"/>
        <v>411</v>
      </c>
      <c r="B426" s="1044"/>
      <c r="C426" s="1045"/>
      <c r="D426" s="38"/>
      <c r="E426" s="954"/>
      <c r="F426" s="53"/>
      <c r="G426" s="39"/>
      <c r="H426" s="1050"/>
      <c r="I426" s="684" t="str">
        <f t="shared" si="36"/>
        <v/>
      </c>
      <c r="J426" s="754">
        <f t="shared" si="37"/>
        <v>0</v>
      </c>
      <c r="K426" s="1256"/>
      <c r="L426" s="1255"/>
      <c r="M426" s="1255"/>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25">
      <c r="A427" s="17">
        <f t="shared" si="40"/>
        <v>412</v>
      </c>
      <c r="B427" s="1044"/>
      <c r="C427" s="1045"/>
      <c r="D427" s="38"/>
      <c r="E427" s="954"/>
      <c r="F427" s="53"/>
      <c r="G427" s="39"/>
      <c r="H427" s="1050"/>
      <c r="I427" s="684" t="str">
        <f t="shared" si="36"/>
        <v/>
      </c>
      <c r="J427" s="754">
        <f t="shared" si="37"/>
        <v>0</v>
      </c>
      <c r="K427" s="1256"/>
      <c r="L427" s="1255"/>
      <c r="M427" s="1255"/>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25">
      <c r="A428" s="17">
        <f t="shared" si="40"/>
        <v>413</v>
      </c>
      <c r="B428" s="1044"/>
      <c r="C428" s="1045"/>
      <c r="D428" s="38"/>
      <c r="E428" s="954"/>
      <c r="F428" s="53"/>
      <c r="G428" s="39"/>
      <c r="H428" s="1050"/>
      <c r="I428" s="684" t="str">
        <f t="shared" si="36"/>
        <v/>
      </c>
      <c r="J428" s="754">
        <f t="shared" si="37"/>
        <v>0</v>
      </c>
      <c r="K428" s="1256"/>
      <c r="L428" s="1255"/>
      <c r="M428" s="1255"/>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25">
      <c r="A429" s="17">
        <f t="shared" si="40"/>
        <v>414</v>
      </c>
      <c r="B429" s="1044"/>
      <c r="C429" s="1045"/>
      <c r="D429" s="38"/>
      <c r="E429" s="954"/>
      <c r="F429" s="53"/>
      <c r="G429" s="39"/>
      <c r="H429" s="1050"/>
      <c r="I429" s="684" t="str">
        <f t="shared" si="36"/>
        <v/>
      </c>
      <c r="J429" s="754">
        <f t="shared" si="37"/>
        <v>0</v>
      </c>
      <c r="K429" s="1256"/>
      <c r="L429" s="1255"/>
      <c r="M429" s="1255"/>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25">
      <c r="A430" s="17">
        <f t="shared" si="40"/>
        <v>415</v>
      </c>
      <c r="B430" s="1044"/>
      <c r="C430" s="1045"/>
      <c r="D430" s="38"/>
      <c r="E430" s="954"/>
      <c r="F430" s="53"/>
      <c r="G430" s="39"/>
      <c r="H430" s="1050"/>
      <c r="I430" s="684" t="str">
        <f t="shared" si="36"/>
        <v/>
      </c>
      <c r="J430" s="754">
        <f t="shared" si="37"/>
        <v>0</v>
      </c>
      <c r="K430" s="1256"/>
      <c r="L430" s="1255"/>
      <c r="M430" s="1255"/>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25">
      <c r="A431" s="17">
        <f t="shared" si="40"/>
        <v>416</v>
      </c>
      <c r="B431" s="1044"/>
      <c r="C431" s="1045"/>
      <c r="D431" s="38"/>
      <c r="E431" s="954"/>
      <c r="F431" s="53"/>
      <c r="G431" s="39"/>
      <c r="H431" s="1050"/>
      <c r="I431" s="684" t="str">
        <f t="shared" si="36"/>
        <v/>
      </c>
      <c r="J431" s="754">
        <f t="shared" si="37"/>
        <v>0</v>
      </c>
      <c r="K431" s="1256"/>
      <c r="L431" s="1255"/>
      <c r="M431" s="1255"/>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25">
      <c r="A432" s="17">
        <f t="shared" si="40"/>
        <v>417</v>
      </c>
      <c r="B432" s="1044"/>
      <c r="C432" s="1045"/>
      <c r="D432" s="38"/>
      <c r="E432" s="954"/>
      <c r="F432" s="53"/>
      <c r="G432" s="39"/>
      <c r="H432" s="1050"/>
      <c r="I432" s="684" t="str">
        <f t="shared" si="36"/>
        <v/>
      </c>
      <c r="J432" s="754">
        <f t="shared" si="37"/>
        <v>0</v>
      </c>
      <c r="K432" s="1256"/>
      <c r="L432" s="1255"/>
      <c r="M432" s="1255"/>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25">
      <c r="A433" s="17">
        <f t="shared" si="40"/>
        <v>418</v>
      </c>
      <c r="B433" s="1044"/>
      <c r="C433" s="1045"/>
      <c r="D433" s="38"/>
      <c r="E433" s="954"/>
      <c r="F433" s="53"/>
      <c r="G433" s="39"/>
      <c r="H433" s="1050"/>
      <c r="I433" s="684" t="str">
        <f t="shared" si="36"/>
        <v/>
      </c>
      <c r="J433" s="754">
        <f t="shared" si="37"/>
        <v>0</v>
      </c>
      <c r="K433" s="1256"/>
      <c r="L433" s="1255"/>
      <c r="M433" s="1255"/>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25">
      <c r="A434" s="17">
        <f t="shared" si="40"/>
        <v>419</v>
      </c>
      <c r="B434" s="1044"/>
      <c r="C434" s="1045"/>
      <c r="D434" s="38"/>
      <c r="E434" s="954"/>
      <c r="F434" s="53"/>
      <c r="G434" s="39"/>
      <c r="H434" s="1050"/>
      <c r="I434" s="684" t="str">
        <f t="shared" si="36"/>
        <v/>
      </c>
      <c r="J434" s="754">
        <f t="shared" si="37"/>
        <v>0</v>
      </c>
      <c r="K434" s="1256"/>
      <c r="L434" s="1255"/>
      <c r="M434" s="1255"/>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25">
      <c r="A435" s="17">
        <f t="shared" si="40"/>
        <v>420</v>
      </c>
      <c r="B435" s="1044"/>
      <c r="C435" s="1045"/>
      <c r="D435" s="38"/>
      <c r="E435" s="954"/>
      <c r="F435" s="53"/>
      <c r="G435" s="39"/>
      <c r="H435" s="1050"/>
      <c r="I435" s="684" t="str">
        <f t="shared" si="36"/>
        <v/>
      </c>
      <c r="J435" s="754">
        <f t="shared" si="37"/>
        <v>0</v>
      </c>
      <c r="K435" s="1256"/>
      <c r="L435" s="1255"/>
      <c r="M435" s="1255"/>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25">
      <c r="A436" s="17">
        <f t="shared" si="40"/>
        <v>421</v>
      </c>
      <c r="B436" s="1044"/>
      <c r="C436" s="1045"/>
      <c r="D436" s="38"/>
      <c r="E436" s="954"/>
      <c r="F436" s="53"/>
      <c r="G436" s="39"/>
      <c r="H436" s="1050"/>
      <c r="I436" s="684" t="str">
        <f t="shared" si="36"/>
        <v/>
      </c>
      <c r="J436" s="754">
        <f t="shared" si="37"/>
        <v>0</v>
      </c>
      <c r="K436" s="1256"/>
      <c r="L436" s="1255"/>
      <c r="M436" s="1255"/>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25">
      <c r="A437" s="17">
        <f t="shared" si="40"/>
        <v>422</v>
      </c>
      <c r="B437" s="1044"/>
      <c r="C437" s="1045"/>
      <c r="D437" s="38"/>
      <c r="E437" s="954"/>
      <c r="F437" s="53"/>
      <c r="G437" s="39"/>
      <c r="H437" s="1050"/>
      <c r="I437" s="684" t="str">
        <f t="shared" si="36"/>
        <v/>
      </c>
      <c r="J437" s="754">
        <f t="shared" si="37"/>
        <v>0</v>
      </c>
      <c r="K437" s="1256"/>
      <c r="L437" s="1255"/>
      <c r="M437" s="1255"/>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25">
      <c r="A438" s="17">
        <f t="shared" si="40"/>
        <v>423</v>
      </c>
      <c r="B438" s="1044"/>
      <c r="C438" s="1045"/>
      <c r="D438" s="38"/>
      <c r="E438" s="954"/>
      <c r="F438" s="53"/>
      <c r="G438" s="39"/>
      <c r="H438" s="1050"/>
      <c r="I438" s="684" t="str">
        <f t="shared" si="36"/>
        <v/>
      </c>
      <c r="J438" s="754">
        <f t="shared" si="37"/>
        <v>0</v>
      </c>
      <c r="K438" s="1256"/>
      <c r="L438" s="1255"/>
      <c r="M438" s="1255"/>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25">
      <c r="A439" s="17">
        <f t="shared" si="40"/>
        <v>424</v>
      </c>
      <c r="B439" s="1044"/>
      <c r="C439" s="1045"/>
      <c r="D439" s="38"/>
      <c r="E439" s="954"/>
      <c r="F439" s="53"/>
      <c r="G439" s="39"/>
      <c r="H439" s="1050"/>
      <c r="I439" s="684" t="str">
        <f t="shared" si="36"/>
        <v/>
      </c>
      <c r="J439" s="754">
        <f t="shared" si="37"/>
        <v>0</v>
      </c>
      <c r="K439" s="1256"/>
      <c r="L439" s="1255"/>
      <c r="M439" s="1255"/>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25">
      <c r="A440" s="17">
        <f t="shared" si="40"/>
        <v>425</v>
      </c>
      <c r="B440" s="1044"/>
      <c r="C440" s="1045"/>
      <c r="D440" s="38"/>
      <c r="E440" s="954"/>
      <c r="F440" s="53"/>
      <c r="G440" s="39"/>
      <c r="H440" s="1050"/>
      <c r="I440" s="684" t="str">
        <f t="shared" si="36"/>
        <v/>
      </c>
      <c r="J440" s="754">
        <f t="shared" si="37"/>
        <v>0</v>
      </c>
      <c r="K440" s="1256"/>
      <c r="L440" s="1255"/>
      <c r="M440" s="1255"/>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25">
      <c r="A441" s="17">
        <f t="shared" si="40"/>
        <v>426</v>
      </c>
      <c r="B441" s="1044"/>
      <c r="C441" s="1045"/>
      <c r="D441" s="38"/>
      <c r="E441" s="954"/>
      <c r="F441" s="53"/>
      <c r="G441" s="39"/>
      <c r="H441" s="1050"/>
      <c r="I441" s="684" t="str">
        <f t="shared" si="36"/>
        <v/>
      </c>
      <c r="J441" s="754">
        <f t="shared" si="37"/>
        <v>0</v>
      </c>
      <c r="K441" s="1256"/>
      <c r="L441" s="1255"/>
      <c r="M441" s="1255"/>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25">
      <c r="A442" s="17">
        <f t="shared" si="40"/>
        <v>427</v>
      </c>
      <c r="B442" s="1044"/>
      <c r="C442" s="1045"/>
      <c r="D442" s="38"/>
      <c r="E442" s="954"/>
      <c r="F442" s="53"/>
      <c r="G442" s="39"/>
      <c r="H442" s="1050"/>
      <c r="I442" s="684" t="str">
        <f t="shared" si="36"/>
        <v/>
      </c>
      <c r="J442" s="754">
        <f t="shared" si="37"/>
        <v>0</v>
      </c>
      <c r="K442" s="1256"/>
      <c r="L442" s="1255"/>
      <c r="M442" s="1255"/>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25">
      <c r="A443" s="17">
        <f t="shared" si="40"/>
        <v>428</v>
      </c>
      <c r="B443" s="1044"/>
      <c r="C443" s="1045"/>
      <c r="D443" s="38"/>
      <c r="E443" s="954"/>
      <c r="F443" s="53"/>
      <c r="G443" s="39"/>
      <c r="H443" s="1050"/>
      <c r="I443" s="684" t="str">
        <f t="shared" si="36"/>
        <v/>
      </c>
      <c r="J443" s="754">
        <f t="shared" si="37"/>
        <v>0</v>
      </c>
      <c r="K443" s="1256"/>
      <c r="L443" s="1255"/>
      <c r="M443" s="1255"/>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25">
      <c r="A444" s="17">
        <f t="shared" si="40"/>
        <v>429</v>
      </c>
      <c r="B444" s="1044"/>
      <c r="C444" s="1045"/>
      <c r="D444" s="38"/>
      <c r="E444" s="954"/>
      <c r="F444" s="53"/>
      <c r="G444" s="39"/>
      <c r="H444" s="1050"/>
      <c r="I444" s="684" t="str">
        <f t="shared" si="36"/>
        <v/>
      </c>
      <c r="J444" s="754">
        <f t="shared" si="37"/>
        <v>0</v>
      </c>
      <c r="K444" s="1256"/>
      <c r="L444" s="1255"/>
      <c r="M444" s="1255"/>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25">
      <c r="A445" s="17">
        <f t="shared" si="40"/>
        <v>430</v>
      </c>
      <c r="B445" s="1044"/>
      <c r="C445" s="1045"/>
      <c r="D445" s="38"/>
      <c r="E445" s="954"/>
      <c r="F445" s="53"/>
      <c r="G445" s="39"/>
      <c r="H445" s="1050"/>
      <c r="I445" s="684" t="str">
        <f t="shared" si="36"/>
        <v/>
      </c>
      <c r="J445" s="754">
        <f t="shared" si="37"/>
        <v>0</v>
      </c>
      <c r="K445" s="1256"/>
      <c r="L445" s="1255"/>
      <c r="M445" s="1255"/>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25">
      <c r="A446" s="17">
        <f t="shared" si="40"/>
        <v>431</v>
      </c>
      <c r="B446" s="1044"/>
      <c r="C446" s="1045"/>
      <c r="D446" s="38"/>
      <c r="E446" s="954"/>
      <c r="F446" s="53"/>
      <c r="G446" s="39"/>
      <c r="H446" s="1050"/>
      <c r="I446" s="684" t="str">
        <f t="shared" si="36"/>
        <v/>
      </c>
      <c r="J446" s="754">
        <f t="shared" si="37"/>
        <v>0</v>
      </c>
      <c r="K446" s="1256"/>
      <c r="L446" s="1255"/>
      <c r="M446" s="1255"/>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25">
      <c r="A447" s="17">
        <f t="shared" si="40"/>
        <v>432</v>
      </c>
      <c r="B447" s="1044"/>
      <c r="C447" s="1045"/>
      <c r="D447" s="38"/>
      <c r="E447" s="954"/>
      <c r="F447" s="53"/>
      <c r="G447" s="39"/>
      <c r="H447" s="1050"/>
      <c r="I447" s="684" t="str">
        <f t="shared" si="36"/>
        <v/>
      </c>
      <c r="J447" s="754">
        <f t="shared" si="37"/>
        <v>0</v>
      </c>
      <c r="K447" s="1256"/>
      <c r="L447" s="1255"/>
      <c r="M447" s="1255"/>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25">
      <c r="A448" s="17">
        <f t="shared" si="40"/>
        <v>433</v>
      </c>
      <c r="B448" s="1044"/>
      <c r="C448" s="1045"/>
      <c r="D448" s="38"/>
      <c r="E448" s="954"/>
      <c r="F448" s="53"/>
      <c r="G448" s="39"/>
      <c r="H448" s="1050"/>
      <c r="I448" s="684" t="str">
        <f t="shared" si="36"/>
        <v/>
      </c>
      <c r="J448" s="754">
        <f t="shared" si="37"/>
        <v>0</v>
      </c>
      <c r="K448" s="1256"/>
      <c r="L448" s="1255"/>
      <c r="M448" s="1255"/>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25">
      <c r="A449" s="17">
        <f t="shared" si="40"/>
        <v>434</v>
      </c>
      <c r="B449" s="1044"/>
      <c r="C449" s="1045"/>
      <c r="D449" s="38"/>
      <c r="E449" s="954"/>
      <c r="F449" s="53"/>
      <c r="G449" s="39"/>
      <c r="H449" s="1050"/>
      <c r="I449" s="684" t="str">
        <f t="shared" si="36"/>
        <v/>
      </c>
      <c r="J449" s="754">
        <f t="shared" si="37"/>
        <v>0</v>
      </c>
      <c r="K449" s="1256"/>
      <c r="L449" s="1255"/>
      <c r="M449" s="1255"/>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25">
      <c r="A450" s="17">
        <f t="shared" si="40"/>
        <v>435</v>
      </c>
      <c r="B450" s="1044"/>
      <c r="C450" s="1045"/>
      <c r="D450" s="38"/>
      <c r="E450" s="954"/>
      <c r="F450" s="53"/>
      <c r="G450" s="39"/>
      <c r="H450" s="1050"/>
      <c r="I450" s="684" t="str">
        <f t="shared" si="36"/>
        <v/>
      </c>
      <c r="J450" s="754">
        <f t="shared" si="37"/>
        <v>0</v>
      </c>
      <c r="K450" s="1256"/>
      <c r="L450" s="1255"/>
      <c r="M450" s="1255"/>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25">
      <c r="A451" s="17">
        <f t="shared" si="40"/>
        <v>436</v>
      </c>
      <c r="B451" s="1044"/>
      <c r="C451" s="1045"/>
      <c r="D451" s="38"/>
      <c r="E451" s="954"/>
      <c r="F451" s="53"/>
      <c r="G451" s="39"/>
      <c r="H451" s="1050"/>
      <c r="I451" s="684" t="str">
        <f t="shared" si="36"/>
        <v/>
      </c>
      <c r="J451" s="754">
        <f t="shared" si="37"/>
        <v>0</v>
      </c>
      <c r="K451" s="1256"/>
      <c r="L451" s="1255"/>
      <c r="M451" s="1255"/>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25">
      <c r="A452" s="17">
        <f t="shared" si="40"/>
        <v>437</v>
      </c>
      <c r="B452" s="1044"/>
      <c r="C452" s="1045"/>
      <c r="D452" s="38"/>
      <c r="E452" s="954"/>
      <c r="F452" s="53"/>
      <c r="G452" s="39"/>
      <c r="H452" s="1050"/>
      <c r="I452" s="684" t="str">
        <f t="shared" si="36"/>
        <v/>
      </c>
      <c r="J452" s="754">
        <f t="shared" si="37"/>
        <v>0</v>
      </c>
      <c r="K452" s="1256"/>
      <c r="L452" s="1255"/>
      <c r="M452" s="1255"/>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25">
      <c r="A453" s="17">
        <f t="shared" si="40"/>
        <v>438</v>
      </c>
      <c r="B453" s="1044"/>
      <c r="C453" s="1045"/>
      <c r="D453" s="38"/>
      <c r="E453" s="954"/>
      <c r="F453" s="53"/>
      <c r="G453" s="39"/>
      <c r="H453" s="1050"/>
      <c r="I453" s="684" t="str">
        <f t="shared" si="36"/>
        <v/>
      </c>
      <c r="J453" s="754">
        <f t="shared" si="37"/>
        <v>0</v>
      </c>
      <c r="K453" s="1256"/>
      <c r="L453" s="1255"/>
      <c r="M453" s="1255"/>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25">
      <c r="A454" s="17">
        <f t="shared" si="40"/>
        <v>439</v>
      </c>
      <c r="B454" s="1044"/>
      <c r="C454" s="1045"/>
      <c r="D454" s="38"/>
      <c r="E454" s="954"/>
      <c r="F454" s="53"/>
      <c r="G454" s="39"/>
      <c r="H454" s="1050"/>
      <c r="I454" s="684" t="str">
        <f t="shared" si="36"/>
        <v/>
      </c>
      <c r="J454" s="754">
        <f t="shared" si="37"/>
        <v>0</v>
      </c>
      <c r="K454" s="1256"/>
      <c r="L454" s="1255"/>
      <c r="M454" s="1255"/>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25">
      <c r="A455" s="17">
        <f t="shared" si="40"/>
        <v>440</v>
      </c>
      <c r="B455" s="1044"/>
      <c r="C455" s="1045"/>
      <c r="D455" s="38"/>
      <c r="E455" s="954"/>
      <c r="F455" s="53"/>
      <c r="G455" s="39"/>
      <c r="H455" s="1050"/>
      <c r="I455" s="684" t="str">
        <f t="shared" si="36"/>
        <v/>
      </c>
      <c r="J455" s="754">
        <f t="shared" si="37"/>
        <v>0</v>
      </c>
      <c r="K455" s="1256"/>
      <c r="L455" s="1255"/>
      <c r="M455" s="1255"/>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25">
      <c r="A456" s="17">
        <f t="shared" si="40"/>
        <v>441</v>
      </c>
      <c r="B456" s="1044"/>
      <c r="C456" s="1045"/>
      <c r="D456" s="38"/>
      <c r="E456" s="954"/>
      <c r="F456" s="53"/>
      <c r="G456" s="39"/>
      <c r="H456" s="1050"/>
      <c r="I456" s="684" t="str">
        <f t="shared" si="36"/>
        <v/>
      </c>
      <c r="J456" s="754">
        <f t="shared" si="37"/>
        <v>0</v>
      </c>
      <c r="K456" s="1256"/>
      <c r="L456" s="1255"/>
      <c r="M456" s="1255"/>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25">
      <c r="A457" s="17">
        <f t="shared" si="40"/>
        <v>442</v>
      </c>
      <c r="B457" s="1044"/>
      <c r="C457" s="1045"/>
      <c r="D457" s="38"/>
      <c r="E457" s="954"/>
      <c r="F457" s="53"/>
      <c r="G457" s="39"/>
      <c r="H457" s="1050"/>
      <c r="I457" s="684" t="str">
        <f t="shared" si="36"/>
        <v/>
      </c>
      <c r="J457" s="754">
        <f t="shared" si="37"/>
        <v>0</v>
      </c>
      <c r="K457" s="1256"/>
      <c r="L457" s="1255"/>
      <c r="M457" s="1255"/>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25">
      <c r="A458" s="17">
        <f t="shared" si="40"/>
        <v>443</v>
      </c>
      <c r="B458" s="1044"/>
      <c r="C458" s="1045"/>
      <c r="D458" s="38"/>
      <c r="E458" s="954"/>
      <c r="F458" s="53"/>
      <c r="G458" s="39"/>
      <c r="H458" s="1050"/>
      <c r="I458" s="684" t="str">
        <f t="shared" si="36"/>
        <v/>
      </c>
      <c r="J458" s="754">
        <f t="shared" si="37"/>
        <v>0</v>
      </c>
      <c r="K458" s="1256"/>
      <c r="L458" s="1255"/>
      <c r="M458" s="1255"/>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25">
      <c r="A459" s="17">
        <f t="shared" si="40"/>
        <v>444</v>
      </c>
      <c r="B459" s="1044"/>
      <c r="C459" s="1045"/>
      <c r="D459" s="38"/>
      <c r="E459" s="954"/>
      <c r="F459" s="53"/>
      <c r="G459" s="39"/>
      <c r="H459" s="1050"/>
      <c r="I459" s="684" t="str">
        <f t="shared" si="36"/>
        <v/>
      </c>
      <c r="J459" s="754">
        <f t="shared" si="37"/>
        <v>0</v>
      </c>
      <c r="K459" s="1256"/>
      <c r="L459" s="1255"/>
      <c r="M459" s="1255"/>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25">
      <c r="A460" s="17">
        <f t="shared" si="40"/>
        <v>445</v>
      </c>
      <c r="B460" s="1044"/>
      <c r="C460" s="1045"/>
      <c r="D460" s="38"/>
      <c r="E460" s="954"/>
      <c r="F460" s="53"/>
      <c r="G460" s="39"/>
      <c r="H460" s="1050"/>
      <c r="I460" s="684" t="str">
        <f t="shared" si="36"/>
        <v/>
      </c>
      <c r="J460" s="754">
        <f t="shared" si="37"/>
        <v>0</v>
      </c>
      <c r="K460" s="1256"/>
      <c r="L460" s="1255"/>
      <c r="M460" s="1255"/>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25">
      <c r="A461" s="17">
        <f t="shared" si="40"/>
        <v>446</v>
      </c>
      <c r="B461" s="1044"/>
      <c r="C461" s="1045"/>
      <c r="D461" s="38"/>
      <c r="E461" s="954"/>
      <c r="F461" s="53"/>
      <c r="G461" s="39"/>
      <c r="H461" s="1050"/>
      <c r="I461" s="684" t="str">
        <f t="shared" si="36"/>
        <v/>
      </c>
      <c r="J461" s="754">
        <f t="shared" si="37"/>
        <v>0</v>
      </c>
      <c r="K461" s="1256"/>
      <c r="L461" s="1255"/>
      <c r="M461" s="1255"/>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25">
      <c r="A462" s="17">
        <f t="shared" si="40"/>
        <v>447</v>
      </c>
      <c r="B462" s="1044"/>
      <c r="C462" s="1045"/>
      <c r="D462" s="38"/>
      <c r="E462" s="954"/>
      <c r="F462" s="53"/>
      <c r="G462" s="39"/>
      <c r="H462" s="1050"/>
      <c r="I462" s="684" t="str">
        <f t="shared" si="36"/>
        <v/>
      </c>
      <c r="J462" s="754">
        <f t="shared" si="37"/>
        <v>0</v>
      </c>
      <c r="K462" s="1256"/>
      <c r="L462" s="1255"/>
      <c r="M462" s="1255"/>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25">
      <c r="A463" s="17">
        <f t="shared" si="40"/>
        <v>448</v>
      </c>
      <c r="B463" s="1044"/>
      <c r="C463" s="1045"/>
      <c r="D463" s="38"/>
      <c r="E463" s="954"/>
      <c r="F463" s="53"/>
      <c r="G463" s="39"/>
      <c r="H463" s="1050"/>
      <c r="I463" s="684" t="str">
        <f t="shared" si="36"/>
        <v/>
      </c>
      <c r="J463" s="754">
        <f t="shared" si="37"/>
        <v>0</v>
      </c>
      <c r="K463" s="1256"/>
      <c r="L463" s="1255"/>
      <c r="M463" s="1255"/>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25">
      <c r="A464" s="17">
        <f t="shared" si="40"/>
        <v>449</v>
      </c>
      <c r="B464" s="1044"/>
      <c r="C464" s="1045"/>
      <c r="D464" s="38"/>
      <c r="E464" s="954"/>
      <c r="F464" s="53"/>
      <c r="G464" s="39"/>
      <c r="H464" s="1050"/>
      <c r="I464" s="684" t="str">
        <f t="shared" ref="I464:I515" si="42">LEFT(H464,4)</f>
        <v/>
      </c>
      <c r="J464" s="754">
        <f t="shared" ref="J464:J515" si="43">G464-BP464</f>
        <v>0</v>
      </c>
      <c r="K464" s="1256"/>
      <c r="L464" s="1255"/>
      <c r="M464" s="1255"/>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25">
      <c r="A465" s="17">
        <f t="shared" ref="A465:A515" si="46">$A464+1</f>
        <v>450</v>
      </c>
      <c r="B465" s="1044"/>
      <c r="C465" s="1045"/>
      <c r="D465" s="38"/>
      <c r="E465" s="954"/>
      <c r="F465" s="53"/>
      <c r="G465" s="39"/>
      <c r="H465" s="1050"/>
      <c r="I465" s="684" t="str">
        <f t="shared" si="42"/>
        <v/>
      </c>
      <c r="J465" s="754">
        <f t="shared" si="43"/>
        <v>0</v>
      </c>
      <c r="K465" s="1256"/>
      <c r="L465" s="1255"/>
      <c r="M465" s="1255"/>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25">
      <c r="A466" s="17">
        <f t="shared" si="46"/>
        <v>451</v>
      </c>
      <c r="B466" s="1044"/>
      <c r="C466" s="1045"/>
      <c r="D466" s="38"/>
      <c r="E466" s="954"/>
      <c r="F466" s="53"/>
      <c r="G466" s="39"/>
      <c r="H466" s="1050"/>
      <c r="I466" s="684" t="str">
        <f t="shared" si="42"/>
        <v/>
      </c>
      <c r="J466" s="754">
        <f t="shared" si="43"/>
        <v>0</v>
      </c>
      <c r="K466" s="1256"/>
      <c r="L466" s="1255"/>
      <c r="M466" s="1255"/>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25">
      <c r="A467" s="17">
        <f t="shared" si="46"/>
        <v>452</v>
      </c>
      <c r="B467" s="1044"/>
      <c r="C467" s="1045"/>
      <c r="D467" s="38"/>
      <c r="E467" s="954"/>
      <c r="F467" s="53"/>
      <c r="G467" s="39"/>
      <c r="H467" s="1050"/>
      <c r="I467" s="684" t="str">
        <f t="shared" si="42"/>
        <v/>
      </c>
      <c r="J467" s="754">
        <f t="shared" si="43"/>
        <v>0</v>
      </c>
      <c r="K467" s="1256"/>
      <c r="L467" s="1255"/>
      <c r="M467" s="1255"/>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25">
      <c r="A468" s="17">
        <f t="shared" si="46"/>
        <v>453</v>
      </c>
      <c r="B468" s="1044"/>
      <c r="C468" s="1045"/>
      <c r="D468" s="38"/>
      <c r="E468" s="954"/>
      <c r="F468" s="53"/>
      <c r="G468" s="39"/>
      <c r="H468" s="1050"/>
      <c r="I468" s="684" t="str">
        <f t="shared" si="42"/>
        <v/>
      </c>
      <c r="J468" s="754">
        <f t="shared" si="43"/>
        <v>0</v>
      </c>
      <c r="K468" s="1256"/>
      <c r="L468" s="1255"/>
      <c r="M468" s="1255"/>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25">
      <c r="A469" s="17">
        <f t="shared" si="46"/>
        <v>454</v>
      </c>
      <c r="B469" s="1044"/>
      <c r="C469" s="1045"/>
      <c r="D469" s="38"/>
      <c r="E469" s="954"/>
      <c r="F469" s="53"/>
      <c r="G469" s="39"/>
      <c r="H469" s="1050"/>
      <c r="I469" s="684" t="str">
        <f t="shared" si="42"/>
        <v/>
      </c>
      <c r="J469" s="754">
        <f t="shared" si="43"/>
        <v>0</v>
      </c>
      <c r="K469" s="1256"/>
      <c r="L469" s="1255"/>
      <c r="M469" s="1255"/>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25">
      <c r="A470" s="17">
        <f t="shared" si="46"/>
        <v>455</v>
      </c>
      <c r="B470" s="1044"/>
      <c r="C470" s="1045"/>
      <c r="D470" s="38"/>
      <c r="E470" s="954"/>
      <c r="F470" s="53"/>
      <c r="G470" s="39"/>
      <c r="H470" s="1050"/>
      <c r="I470" s="684" t="str">
        <f t="shared" si="42"/>
        <v/>
      </c>
      <c r="J470" s="754">
        <f t="shared" si="43"/>
        <v>0</v>
      </c>
      <c r="K470" s="1256"/>
      <c r="L470" s="1255"/>
      <c r="M470" s="1255"/>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25">
      <c r="A471" s="17">
        <f t="shared" si="46"/>
        <v>456</v>
      </c>
      <c r="B471" s="1044"/>
      <c r="C471" s="1045"/>
      <c r="D471" s="38"/>
      <c r="E471" s="954"/>
      <c r="F471" s="53"/>
      <c r="G471" s="39"/>
      <c r="H471" s="1050"/>
      <c r="I471" s="684" t="str">
        <f t="shared" si="42"/>
        <v/>
      </c>
      <c r="J471" s="754">
        <f t="shared" si="43"/>
        <v>0</v>
      </c>
      <c r="K471" s="1256"/>
      <c r="L471" s="1255"/>
      <c r="M471" s="1255"/>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25">
      <c r="A472" s="17">
        <f t="shared" si="46"/>
        <v>457</v>
      </c>
      <c r="B472" s="1044"/>
      <c r="C472" s="1045"/>
      <c r="D472" s="38"/>
      <c r="E472" s="954"/>
      <c r="F472" s="53"/>
      <c r="G472" s="39"/>
      <c r="H472" s="1050"/>
      <c r="I472" s="684" t="str">
        <f t="shared" si="42"/>
        <v/>
      </c>
      <c r="J472" s="754">
        <f t="shared" si="43"/>
        <v>0</v>
      </c>
      <c r="K472" s="1256"/>
      <c r="L472" s="1255"/>
      <c r="M472" s="1255"/>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25">
      <c r="A473" s="17">
        <f t="shared" si="46"/>
        <v>458</v>
      </c>
      <c r="B473" s="1044"/>
      <c r="C473" s="1045"/>
      <c r="D473" s="38"/>
      <c r="E473" s="954"/>
      <c r="F473" s="53"/>
      <c r="G473" s="39"/>
      <c r="H473" s="1050"/>
      <c r="I473" s="684" t="str">
        <f t="shared" si="42"/>
        <v/>
      </c>
      <c r="J473" s="754">
        <f t="shared" si="43"/>
        <v>0</v>
      </c>
      <c r="K473" s="1256"/>
      <c r="L473" s="1255"/>
      <c r="M473" s="1255"/>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25">
      <c r="A474" s="17">
        <f t="shared" si="46"/>
        <v>459</v>
      </c>
      <c r="B474" s="1044"/>
      <c r="C474" s="1045"/>
      <c r="D474" s="38"/>
      <c r="E474" s="954"/>
      <c r="F474" s="53"/>
      <c r="G474" s="39"/>
      <c r="H474" s="1050"/>
      <c r="I474" s="684" t="str">
        <f t="shared" si="42"/>
        <v/>
      </c>
      <c r="J474" s="754">
        <f t="shared" si="43"/>
        <v>0</v>
      </c>
      <c r="K474" s="1256"/>
      <c r="L474" s="1255"/>
      <c r="M474" s="1255"/>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25">
      <c r="A475" s="17">
        <f t="shared" si="46"/>
        <v>460</v>
      </c>
      <c r="B475" s="1044"/>
      <c r="C475" s="1045"/>
      <c r="D475" s="38"/>
      <c r="E475" s="954"/>
      <c r="F475" s="53"/>
      <c r="G475" s="39"/>
      <c r="H475" s="1050"/>
      <c r="I475" s="684" t="str">
        <f t="shared" si="42"/>
        <v/>
      </c>
      <c r="J475" s="754">
        <f t="shared" si="43"/>
        <v>0</v>
      </c>
      <c r="K475" s="1256"/>
      <c r="L475" s="1255"/>
      <c r="M475" s="1255"/>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25">
      <c r="A476" s="17">
        <f t="shared" si="46"/>
        <v>461</v>
      </c>
      <c r="B476" s="1044"/>
      <c r="C476" s="1045"/>
      <c r="D476" s="38"/>
      <c r="E476" s="954"/>
      <c r="F476" s="53"/>
      <c r="G476" s="39"/>
      <c r="H476" s="1050"/>
      <c r="I476" s="684" t="str">
        <f t="shared" si="42"/>
        <v/>
      </c>
      <c r="J476" s="754">
        <f t="shared" si="43"/>
        <v>0</v>
      </c>
      <c r="K476" s="1256"/>
      <c r="L476" s="1255"/>
      <c r="M476" s="1255"/>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25">
      <c r="A477" s="17">
        <f t="shared" si="46"/>
        <v>462</v>
      </c>
      <c r="B477" s="1044"/>
      <c r="C477" s="1045"/>
      <c r="D477" s="38"/>
      <c r="E477" s="954"/>
      <c r="F477" s="53"/>
      <c r="G477" s="39"/>
      <c r="H477" s="1050"/>
      <c r="I477" s="684" t="str">
        <f t="shared" si="42"/>
        <v/>
      </c>
      <c r="J477" s="754">
        <f t="shared" si="43"/>
        <v>0</v>
      </c>
      <c r="K477" s="1256"/>
      <c r="L477" s="1255"/>
      <c r="M477" s="1255"/>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25">
      <c r="A478" s="17">
        <f t="shared" si="46"/>
        <v>463</v>
      </c>
      <c r="B478" s="1044"/>
      <c r="C478" s="1045"/>
      <c r="D478" s="38"/>
      <c r="E478" s="954"/>
      <c r="F478" s="53"/>
      <c r="G478" s="39"/>
      <c r="H478" s="1050"/>
      <c r="I478" s="684" t="str">
        <f t="shared" si="42"/>
        <v/>
      </c>
      <c r="J478" s="754">
        <f t="shared" si="43"/>
        <v>0</v>
      </c>
      <c r="K478" s="1256"/>
      <c r="L478" s="1255"/>
      <c r="M478" s="1255"/>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25">
      <c r="A479" s="17">
        <f t="shared" si="46"/>
        <v>464</v>
      </c>
      <c r="B479" s="1044"/>
      <c r="C479" s="1045"/>
      <c r="D479" s="38"/>
      <c r="E479" s="954"/>
      <c r="F479" s="53"/>
      <c r="G479" s="39"/>
      <c r="H479" s="1050"/>
      <c r="I479" s="684" t="str">
        <f t="shared" si="42"/>
        <v/>
      </c>
      <c r="J479" s="754">
        <f t="shared" si="43"/>
        <v>0</v>
      </c>
      <c r="K479" s="1256"/>
      <c r="L479" s="1255"/>
      <c r="M479" s="1255"/>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25">
      <c r="A480" s="17">
        <f t="shared" si="46"/>
        <v>465</v>
      </c>
      <c r="B480" s="1044"/>
      <c r="C480" s="1045"/>
      <c r="D480" s="38"/>
      <c r="E480" s="954"/>
      <c r="F480" s="53"/>
      <c r="G480" s="39"/>
      <c r="H480" s="1050"/>
      <c r="I480" s="684" t="str">
        <f t="shared" si="42"/>
        <v/>
      </c>
      <c r="J480" s="754">
        <f t="shared" si="43"/>
        <v>0</v>
      </c>
      <c r="K480" s="1256"/>
      <c r="L480" s="1255"/>
      <c r="M480" s="1255"/>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25">
      <c r="A481" s="17">
        <f t="shared" si="46"/>
        <v>466</v>
      </c>
      <c r="B481" s="1044"/>
      <c r="C481" s="1045"/>
      <c r="D481" s="38"/>
      <c r="E481" s="954"/>
      <c r="F481" s="53"/>
      <c r="G481" s="39"/>
      <c r="H481" s="1050"/>
      <c r="I481" s="684" t="str">
        <f t="shared" si="42"/>
        <v/>
      </c>
      <c r="J481" s="754">
        <f t="shared" si="43"/>
        <v>0</v>
      </c>
      <c r="K481" s="1256"/>
      <c r="L481" s="1255"/>
      <c r="M481" s="1255"/>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25">
      <c r="A482" s="17">
        <f t="shared" si="46"/>
        <v>467</v>
      </c>
      <c r="B482" s="1044"/>
      <c r="C482" s="1045"/>
      <c r="D482" s="38"/>
      <c r="E482" s="954"/>
      <c r="F482" s="53"/>
      <c r="G482" s="39"/>
      <c r="H482" s="1050"/>
      <c r="I482" s="684" t="str">
        <f t="shared" si="42"/>
        <v/>
      </c>
      <c r="J482" s="754">
        <f t="shared" si="43"/>
        <v>0</v>
      </c>
      <c r="K482" s="1256"/>
      <c r="L482" s="1255"/>
      <c r="M482" s="1255"/>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25">
      <c r="A483" s="17">
        <f t="shared" si="46"/>
        <v>468</v>
      </c>
      <c r="B483" s="1044"/>
      <c r="C483" s="1045"/>
      <c r="D483" s="38"/>
      <c r="E483" s="954"/>
      <c r="F483" s="53"/>
      <c r="G483" s="39"/>
      <c r="H483" s="1050"/>
      <c r="I483" s="684" t="str">
        <f t="shared" si="42"/>
        <v/>
      </c>
      <c r="J483" s="754">
        <f t="shared" si="43"/>
        <v>0</v>
      </c>
      <c r="K483" s="1256"/>
      <c r="L483" s="1255"/>
      <c r="M483" s="1255"/>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25">
      <c r="A484" s="17">
        <f t="shared" si="46"/>
        <v>469</v>
      </c>
      <c r="B484" s="1044"/>
      <c r="C484" s="1045"/>
      <c r="D484" s="38"/>
      <c r="E484" s="954"/>
      <c r="F484" s="53"/>
      <c r="G484" s="39"/>
      <c r="H484" s="1050"/>
      <c r="I484" s="684" t="str">
        <f t="shared" si="42"/>
        <v/>
      </c>
      <c r="J484" s="754">
        <f t="shared" si="43"/>
        <v>0</v>
      </c>
      <c r="K484" s="1256"/>
      <c r="L484" s="1255"/>
      <c r="M484" s="1255"/>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25">
      <c r="A485" s="17">
        <f t="shared" si="46"/>
        <v>470</v>
      </c>
      <c r="B485" s="1044"/>
      <c r="C485" s="1045"/>
      <c r="D485" s="38"/>
      <c r="E485" s="954"/>
      <c r="F485" s="53"/>
      <c r="G485" s="39"/>
      <c r="H485" s="1050"/>
      <c r="I485" s="684" t="str">
        <f t="shared" si="42"/>
        <v/>
      </c>
      <c r="J485" s="754">
        <f t="shared" si="43"/>
        <v>0</v>
      </c>
      <c r="K485" s="1256"/>
      <c r="L485" s="1255"/>
      <c r="M485" s="1255"/>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25">
      <c r="A486" s="17">
        <f t="shared" si="46"/>
        <v>471</v>
      </c>
      <c r="B486" s="1044"/>
      <c r="C486" s="1045"/>
      <c r="D486" s="38"/>
      <c r="E486" s="954"/>
      <c r="F486" s="53"/>
      <c r="G486" s="39"/>
      <c r="H486" s="1050"/>
      <c r="I486" s="684" t="str">
        <f t="shared" si="42"/>
        <v/>
      </c>
      <c r="J486" s="754">
        <f t="shared" si="43"/>
        <v>0</v>
      </c>
      <c r="K486" s="1256"/>
      <c r="L486" s="1255"/>
      <c r="M486" s="1255"/>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25">
      <c r="A487" s="17">
        <f t="shared" si="46"/>
        <v>472</v>
      </c>
      <c r="B487" s="1044"/>
      <c r="C487" s="1045"/>
      <c r="D487" s="38"/>
      <c r="E487" s="954"/>
      <c r="F487" s="53"/>
      <c r="G487" s="39"/>
      <c r="H487" s="1050"/>
      <c r="I487" s="684" t="str">
        <f t="shared" si="42"/>
        <v/>
      </c>
      <c r="J487" s="754">
        <f t="shared" si="43"/>
        <v>0</v>
      </c>
      <c r="K487" s="1256"/>
      <c r="L487" s="1255"/>
      <c r="M487" s="1255"/>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25">
      <c r="A488" s="17">
        <f t="shared" si="46"/>
        <v>473</v>
      </c>
      <c r="B488" s="1044"/>
      <c r="C488" s="1045"/>
      <c r="D488" s="38"/>
      <c r="E488" s="954"/>
      <c r="F488" s="53"/>
      <c r="G488" s="39"/>
      <c r="H488" s="1050"/>
      <c r="I488" s="684" t="str">
        <f t="shared" si="42"/>
        <v/>
      </c>
      <c r="J488" s="754">
        <f t="shared" si="43"/>
        <v>0</v>
      </c>
      <c r="K488" s="1256"/>
      <c r="L488" s="1255"/>
      <c r="M488" s="1255"/>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25">
      <c r="A489" s="17">
        <f t="shared" si="46"/>
        <v>474</v>
      </c>
      <c r="B489" s="1044"/>
      <c r="C489" s="1045"/>
      <c r="D489" s="38"/>
      <c r="E489" s="954"/>
      <c r="F489" s="53"/>
      <c r="G489" s="39"/>
      <c r="H489" s="1050"/>
      <c r="I489" s="684" t="str">
        <f t="shared" si="42"/>
        <v/>
      </c>
      <c r="J489" s="754">
        <f t="shared" si="43"/>
        <v>0</v>
      </c>
      <c r="K489" s="1256"/>
      <c r="L489" s="1255"/>
      <c r="M489" s="1255"/>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25">
      <c r="A490" s="17">
        <f t="shared" si="46"/>
        <v>475</v>
      </c>
      <c r="B490" s="1044"/>
      <c r="C490" s="1045"/>
      <c r="D490" s="38"/>
      <c r="E490" s="954"/>
      <c r="F490" s="53"/>
      <c r="G490" s="39"/>
      <c r="H490" s="1050"/>
      <c r="I490" s="684" t="str">
        <f t="shared" si="42"/>
        <v/>
      </c>
      <c r="J490" s="754">
        <f t="shared" si="43"/>
        <v>0</v>
      </c>
      <c r="K490" s="1256"/>
      <c r="L490" s="1255"/>
      <c r="M490" s="1255"/>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25">
      <c r="A491" s="17">
        <f t="shared" si="46"/>
        <v>476</v>
      </c>
      <c r="B491" s="1044"/>
      <c r="C491" s="1045"/>
      <c r="D491" s="38"/>
      <c r="E491" s="954"/>
      <c r="F491" s="53"/>
      <c r="G491" s="39"/>
      <c r="H491" s="1050"/>
      <c r="I491" s="684" t="str">
        <f t="shared" si="42"/>
        <v/>
      </c>
      <c r="J491" s="754">
        <f t="shared" si="43"/>
        <v>0</v>
      </c>
      <c r="K491" s="1256"/>
      <c r="L491" s="1255"/>
      <c r="M491" s="1255"/>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25">
      <c r="A492" s="17">
        <f t="shared" si="46"/>
        <v>477</v>
      </c>
      <c r="B492" s="1044"/>
      <c r="C492" s="1045"/>
      <c r="D492" s="38"/>
      <c r="E492" s="954"/>
      <c r="F492" s="53"/>
      <c r="G492" s="39"/>
      <c r="H492" s="1050"/>
      <c r="I492" s="684" t="str">
        <f t="shared" si="42"/>
        <v/>
      </c>
      <c r="J492" s="754">
        <f t="shared" si="43"/>
        <v>0</v>
      </c>
      <c r="K492" s="1256"/>
      <c r="L492" s="1255"/>
      <c r="M492" s="1255"/>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25">
      <c r="A493" s="17">
        <f t="shared" si="46"/>
        <v>478</v>
      </c>
      <c r="B493" s="1044"/>
      <c r="C493" s="1045"/>
      <c r="D493" s="38"/>
      <c r="E493" s="954"/>
      <c r="F493" s="53"/>
      <c r="G493" s="39"/>
      <c r="H493" s="1050"/>
      <c r="I493" s="684" t="str">
        <f t="shared" si="42"/>
        <v/>
      </c>
      <c r="J493" s="754">
        <f t="shared" si="43"/>
        <v>0</v>
      </c>
      <c r="K493" s="1256"/>
      <c r="L493" s="1255"/>
      <c r="M493" s="1255"/>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25">
      <c r="A494" s="17">
        <f t="shared" si="46"/>
        <v>479</v>
      </c>
      <c r="B494" s="1044"/>
      <c r="C494" s="1045"/>
      <c r="D494" s="38"/>
      <c r="E494" s="954"/>
      <c r="F494" s="53"/>
      <c r="G494" s="39"/>
      <c r="H494" s="1050"/>
      <c r="I494" s="684" t="str">
        <f t="shared" si="42"/>
        <v/>
      </c>
      <c r="J494" s="754">
        <f t="shared" si="43"/>
        <v>0</v>
      </c>
      <c r="K494" s="1256"/>
      <c r="L494" s="1255"/>
      <c r="M494" s="1255"/>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25">
      <c r="A495" s="17">
        <f t="shared" si="46"/>
        <v>480</v>
      </c>
      <c r="B495" s="1044"/>
      <c r="C495" s="1045"/>
      <c r="D495" s="38"/>
      <c r="E495" s="954"/>
      <c r="F495" s="53"/>
      <c r="G495" s="39"/>
      <c r="H495" s="1050"/>
      <c r="I495" s="684" t="str">
        <f t="shared" si="42"/>
        <v/>
      </c>
      <c r="J495" s="754">
        <f t="shared" si="43"/>
        <v>0</v>
      </c>
      <c r="K495" s="1256"/>
      <c r="L495" s="1255"/>
      <c r="M495" s="1255"/>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25">
      <c r="A496" s="17">
        <f t="shared" si="46"/>
        <v>481</v>
      </c>
      <c r="B496" s="1044"/>
      <c r="C496" s="1045"/>
      <c r="D496" s="38"/>
      <c r="E496" s="954"/>
      <c r="F496" s="53"/>
      <c r="G496" s="39"/>
      <c r="H496" s="1050"/>
      <c r="I496" s="684" t="str">
        <f t="shared" si="42"/>
        <v/>
      </c>
      <c r="J496" s="754">
        <f t="shared" si="43"/>
        <v>0</v>
      </c>
      <c r="K496" s="1256"/>
      <c r="L496" s="1255"/>
      <c r="M496" s="1255"/>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25">
      <c r="A497" s="17">
        <f t="shared" si="46"/>
        <v>482</v>
      </c>
      <c r="B497" s="1044"/>
      <c r="C497" s="1045"/>
      <c r="D497" s="38"/>
      <c r="E497" s="954"/>
      <c r="F497" s="53"/>
      <c r="G497" s="39"/>
      <c r="H497" s="1050"/>
      <c r="I497" s="684" t="str">
        <f t="shared" si="42"/>
        <v/>
      </c>
      <c r="J497" s="754">
        <f t="shared" si="43"/>
        <v>0</v>
      </c>
      <c r="K497" s="1256"/>
      <c r="L497" s="1255"/>
      <c r="M497" s="1255"/>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25">
      <c r="A498" s="17">
        <f t="shared" si="46"/>
        <v>483</v>
      </c>
      <c r="B498" s="1044"/>
      <c r="C498" s="1045"/>
      <c r="D498" s="38"/>
      <c r="E498" s="954"/>
      <c r="F498" s="53"/>
      <c r="G498" s="39"/>
      <c r="H498" s="1050"/>
      <c r="I498" s="684" t="str">
        <f t="shared" si="42"/>
        <v/>
      </c>
      <c r="J498" s="754">
        <f t="shared" si="43"/>
        <v>0</v>
      </c>
      <c r="K498" s="1256"/>
      <c r="L498" s="1255"/>
      <c r="M498" s="1255"/>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25">
      <c r="A499" s="17">
        <f t="shared" si="46"/>
        <v>484</v>
      </c>
      <c r="B499" s="1044"/>
      <c r="C499" s="1045"/>
      <c r="D499" s="38"/>
      <c r="E499" s="954"/>
      <c r="F499" s="53"/>
      <c r="G499" s="39"/>
      <c r="H499" s="1050"/>
      <c r="I499" s="684" t="str">
        <f t="shared" si="42"/>
        <v/>
      </c>
      <c r="J499" s="754">
        <f t="shared" si="43"/>
        <v>0</v>
      </c>
      <c r="K499" s="1256"/>
      <c r="L499" s="1255"/>
      <c r="M499" s="1255"/>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25">
      <c r="A500" s="17">
        <f t="shared" si="46"/>
        <v>485</v>
      </c>
      <c r="B500" s="1044"/>
      <c r="C500" s="1045"/>
      <c r="D500" s="38"/>
      <c r="E500" s="954"/>
      <c r="F500" s="53"/>
      <c r="G500" s="39"/>
      <c r="H500" s="1050"/>
      <c r="I500" s="684" t="str">
        <f t="shared" si="42"/>
        <v/>
      </c>
      <c r="J500" s="754">
        <f t="shared" si="43"/>
        <v>0</v>
      </c>
      <c r="K500" s="1256"/>
      <c r="L500" s="1255"/>
      <c r="M500" s="1255"/>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25">
      <c r="A501" s="17">
        <f t="shared" si="46"/>
        <v>486</v>
      </c>
      <c r="B501" s="1044"/>
      <c r="C501" s="1045"/>
      <c r="D501" s="38"/>
      <c r="E501" s="954"/>
      <c r="F501" s="53"/>
      <c r="G501" s="39"/>
      <c r="H501" s="1050"/>
      <c r="I501" s="684" t="str">
        <f t="shared" si="42"/>
        <v/>
      </c>
      <c r="J501" s="754">
        <f t="shared" si="43"/>
        <v>0</v>
      </c>
      <c r="K501" s="1256"/>
      <c r="L501" s="1255"/>
      <c r="M501" s="1255"/>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25">
      <c r="A502" s="17">
        <f t="shared" si="46"/>
        <v>487</v>
      </c>
      <c r="B502" s="1044"/>
      <c r="C502" s="1045"/>
      <c r="D502" s="38"/>
      <c r="E502" s="954"/>
      <c r="F502" s="53"/>
      <c r="G502" s="39"/>
      <c r="H502" s="1050"/>
      <c r="I502" s="684" t="str">
        <f t="shared" si="42"/>
        <v/>
      </c>
      <c r="J502" s="754">
        <f t="shared" si="43"/>
        <v>0</v>
      </c>
      <c r="K502" s="1256"/>
      <c r="L502" s="1255"/>
      <c r="M502" s="1255"/>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25">
      <c r="A503" s="17">
        <f t="shared" si="46"/>
        <v>488</v>
      </c>
      <c r="B503" s="1044"/>
      <c r="C503" s="1045"/>
      <c r="D503" s="38"/>
      <c r="E503" s="954"/>
      <c r="F503" s="53"/>
      <c r="G503" s="39"/>
      <c r="H503" s="1050"/>
      <c r="I503" s="684" t="str">
        <f t="shared" si="42"/>
        <v/>
      </c>
      <c r="J503" s="754">
        <f t="shared" si="43"/>
        <v>0</v>
      </c>
      <c r="K503" s="1256"/>
      <c r="L503" s="1255"/>
      <c r="M503" s="1255"/>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25">
      <c r="A504" s="17">
        <f t="shared" si="46"/>
        <v>489</v>
      </c>
      <c r="B504" s="1044"/>
      <c r="C504" s="1045"/>
      <c r="D504" s="38"/>
      <c r="E504" s="954"/>
      <c r="F504" s="53"/>
      <c r="G504" s="39"/>
      <c r="H504" s="1050"/>
      <c r="I504" s="684" t="str">
        <f t="shared" si="42"/>
        <v/>
      </c>
      <c r="J504" s="754">
        <f t="shared" si="43"/>
        <v>0</v>
      </c>
      <c r="K504" s="1256"/>
      <c r="L504" s="1255"/>
      <c r="M504" s="1255"/>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25">
      <c r="A505" s="17">
        <f t="shared" si="46"/>
        <v>490</v>
      </c>
      <c r="B505" s="1044"/>
      <c r="C505" s="1045"/>
      <c r="D505" s="38"/>
      <c r="E505" s="954"/>
      <c r="F505" s="53"/>
      <c r="G505" s="39"/>
      <c r="H505" s="1050"/>
      <c r="I505" s="684" t="str">
        <f t="shared" si="42"/>
        <v/>
      </c>
      <c r="J505" s="754">
        <f t="shared" si="43"/>
        <v>0</v>
      </c>
      <c r="K505" s="1256"/>
      <c r="L505" s="1255"/>
      <c r="M505" s="1255"/>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25">
      <c r="A506" s="17">
        <f t="shared" si="46"/>
        <v>491</v>
      </c>
      <c r="B506" s="1044"/>
      <c r="C506" s="1045"/>
      <c r="D506" s="38"/>
      <c r="E506" s="954"/>
      <c r="F506" s="53"/>
      <c r="G506" s="39"/>
      <c r="H506" s="1050"/>
      <c r="I506" s="684" t="str">
        <f t="shared" si="42"/>
        <v/>
      </c>
      <c r="J506" s="754">
        <f t="shared" si="43"/>
        <v>0</v>
      </c>
      <c r="K506" s="1256"/>
      <c r="L506" s="1255"/>
      <c r="M506" s="1255"/>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25">
      <c r="A507" s="17">
        <f t="shared" si="46"/>
        <v>492</v>
      </c>
      <c r="B507" s="1044"/>
      <c r="C507" s="1045"/>
      <c r="D507" s="38"/>
      <c r="E507" s="954"/>
      <c r="F507" s="53"/>
      <c r="G507" s="39"/>
      <c r="H507" s="1050"/>
      <c r="I507" s="684" t="str">
        <f t="shared" si="42"/>
        <v/>
      </c>
      <c r="J507" s="754">
        <f t="shared" si="43"/>
        <v>0</v>
      </c>
      <c r="K507" s="1256"/>
      <c r="L507" s="1255"/>
      <c r="M507" s="1255"/>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25">
      <c r="A508" s="17">
        <f t="shared" si="46"/>
        <v>493</v>
      </c>
      <c r="B508" s="1044"/>
      <c r="C508" s="1045"/>
      <c r="D508" s="38"/>
      <c r="E508" s="954"/>
      <c r="F508" s="53"/>
      <c r="G508" s="39"/>
      <c r="H508" s="1050"/>
      <c r="I508" s="684" t="str">
        <f t="shared" si="42"/>
        <v/>
      </c>
      <c r="J508" s="754">
        <f t="shared" si="43"/>
        <v>0</v>
      </c>
      <c r="K508" s="1256"/>
      <c r="L508" s="1255"/>
      <c r="M508" s="1255"/>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25">
      <c r="A509" s="17">
        <f t="shared" si="46"/>
        <v>494</v>
      </c>
      <c r="B509" s="1044"/>
      <c r="C509" s="1045"/>
      <c r="D509" s="38"/>
      <c r="E509" s="954"/>
      <c r="F509" s="53"/>
      <c r="G509" s="39"/>
      <c r="H509" s="1050"/>
      <c r="I509" s="684" t="str">
        <f t="shared" si="42"/>
        <v/>
      </c>
      <c r="J509" s="754">
        <f t="shared" si="43"/>
        <v>0</v>
      </c>
      <c r="K509" s="1256"/>
      <c r="L509" s="1255"/>
      <c r="M509" s="1255"/>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25">
      <c r="A510" s="17">
        <f t="shared" si="46"/>
        <v>495</v>
      </c>
      <c r="B510" s="1044"/>
      <c r="C510" s="1045"/>
      <c r="D510" s="38"/>
      <c r="E510" s="954"/>
      <c r="F510" s="53"/>
      <c r="G510" s="39"/>
      <c r="H510" s="1050"/>
      <c r="I510" s="684" t="str">
        <f t="shared" si="42"/>
        <v/>
      </c>
      <c r="J510" s="754">
        <f t="shared" si="43"/>
        <v>0</v>
      </c>
      <c r="K510" s="1256"/>
      <c r="L510" s="1255"/>
      <c r="M510" s="1255"/>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25">
      <c r="A511" s="17">
        <f t="shared" si="46"/>
        <v>496</v>
      </c>
      <c r="B511" s="1044"/>
      <c r="C511" s="1045"/>
      <c r="D511" s="38"/>
      <c r="E511" s="954"/>
      <c r="F511" s="53"/>
      <c r="G511" s="39"/>
      <c r="H511" s="1050"/>
      <c r="I511" s="684" t="str">
        <f t="shared" si="42"/>
        <v/>
      </c>
      <c r="J511" s="754">
        <f t="shared" si="43"/>
        <v>0</v>
      </c>
      <c r="K511" s="1256"/>
      <c r="L511" s="1255"/>
      <c r="M511" s="1255"/>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25">
      <c r="A512" s="17">
        <f t="shared" si="46"/>
        <v>497</v>
      </c>
      <c r="B512" s="1044"/>
      <c r="C512" s="1045"/>
      <c r="D512" s="38"/>
      <c r="E512" s="954"/>
      <c r="F512" s="53"/>
      <c r="G512" s="39"/>
      <c r="H512" s="1050"/>
      <c r="I512" s="684" t="str">
        <f t="shared" si="42"/>
        <v/>
      </c>
      <c r="J512" s="754">
        <f t="shared" si="43"/>
        <v>0</v>
      </c>
      <c r="K512" s="1256"/>
      <c r="L512" s="1255"/>
      <c r="M512" s="1255"/>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25">
      <c r="A513" s="17">
        <f t="shared" si="46"/>
        <v>498</v>
      </c>
      <c r="B513" s="1044"/>
      <c r="C513" s="1045"/>
      <c r="D513" s="38"/>
      <c r="E513" s="954"/>
      <c r="F513" s="53"/>
      <c r="G513" s="39"/>
      <c r="H513" s="1050"/>
      <c r="I513" s="684" t="str">
        <f t="shared" si="42"/>
        <v/>
      </c>
      <c r="J513" s="754">
        <f t="shared" si="43"/>
        <v>0</v>
      </c>
      <c r="K513" s="1256"/>
      <c r="L513" s="1255"/>
      <c r="M513" s="1255"/>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25">
      <c r="A514" s="17">
        <f t="shared" si="46"/>
        <v>499</v>
      </c>
      <c r="B514" s="1044"/>
      <c r="C514" s="1045"/>
      <c r="D514" s="38"/>
      <c r="E514" s="954"/>
      <c r="F514" s="53"/>
      <c r="G514" s="39"/>
      <c r="H514" s="1050"/>
      <c r="I514" s="684" t="str">
        <f t="shared" si="42"/>
        <v/>
      </c>
      <c r="J514" s="754">
        <f t="shared" si="43"/>
        <v>0</v>
      </c>
      <c r="K514" s="1256"/>
      <c r="L514" s="1255"/>
      <c r="M514" s="1255"/>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25">
      <c r="A515" s="17">
        <f t="shared" si="46"/>
        <v>500</v>
      </c>
      <c r="B515" s="1044"/>
      <c r="C515" s="1045"/>
      <c r="D515" s="38"/>
      <c r="E515" s="954"/>
      <c r="F515" s="53"/>
      <c r="G515" s="39"/>
      <c r="H515" s="1050"/>
      <c r="I515" s="689" t="str">
        <f t="shared" si="42"/>
        <v/>
      </c>
      <c r="J515" s="754">
        <f t="shared" si="43"/>
        <v>0</v>
      </c>
      <c r="K515" s="1256"/>
      <c r="L515" s="1255"/>
      <c r="M515" s="1255"/>
      <c r="N515" s="773" t="str">
        <f t="shared" si="47"/>
        <v/>
      </c>
      <c r="O515" s="774" t="str">
        <f>IF('Set up ~ Config'!$G$32=6,IF(OR($N515=7,$N515=8,$N515=9),1,IF(OR($N515=10,$N515=11,$N515=12),2,IF(OR($N515=1,$N515=2,$N515=3),3,IF(OR($N515=4,$N515=5,$N515=6),4,"")))),IF(OR($N515=9,$N515=10,$N515=11),1,IF(OR($N515=12,$N515=1,$N515=2),2,IF(OR($N515=3,$N515=4,$N515=5),3,IF(OR($N515=6,$N515=7,$N515=8),4,"")))))</f>
        <v/>
      </c>
      <c r="P515" s="1310"/>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25">
      <c r="C516" s="1486" t="str">
        <f>IF(C4=2,"TOTAUX","TOTALS")</f>
        <v>TOTALS</v>
      </c>
      <c r="D516" s="1486"/>
      <c r="E516" s="1486"/>
      <c r="F516" s="1486"/>
      <c r="G516" s="692">
        <f>+SUM(G16:G515)</f>
        <v>0</v>
      </c>
      <c r="H516" s="756"/>
      <c r="I516" s="757"/>
      <c r="J516" s="758">
        <f>+SUM(J16:J515)</f>
        <v>0</v>
      </c>
      <c r="K516" s="1257">
        <f>+SUM(K16:K515)</f>
        <v>0</v>
      </c>
      <c r="L516" s="1257">
        <f>+SUM(L16:L515)</f>
        <v>0</v>
      </c>
      <c r="M516" s="1257">
        <f>+SUM(M16:M515)</f>
        <v>0</v>
      </c>
      <c r="N516" s="759"/>
      <c r="O516" s="759"/>
      <c r="P516" s="1311">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2">
      <c r="C517" s="1487"/>
      <c r="D517" s="1487"/>
      <c r="E517" s="1487"/>
      <c r="F517" s="1487"/>
      <c r="G517" s="606"/>
      <c r="H517" s="762"/>
      <c r="I517" s="763"/>
      <c r="J517" s="763"/>
      <c r="K517" s="763"/>
      <c r="L517" s="763"/>
      <c r="M517" s="18"/>
      <c r="N517" s="18"/>
      <c r="O517" s="18"/>
      <c r="P517" s="18"/>
      <c r="Q517" s="79"/>
      <c r="BO517" s="710"/>
      <c r="BP517" s="710"/>
    </row>
    <row r="518" spans="1:68" ht="22.5" customHeight="1" x14ac:dyDescent="0.2">
      <c r="E518" s="1482" t="str">
        <f>IF(C4=2,"Montant total réconcilié","RECONCILED TOTAL")</f>
        <v>RECONCILED TOTAL</v>
      </c>
      <c r="F518" s="1482"/>
      <c r="G518" s="711">
        <f>SUMIF(B16:B515,B6,G16:G515)</f>
        <v>0</v>
      </c>
      <c r="H518" s="764"/>
      <c r="I518" s="765" t="s">
        <v>92</v>
      </c>
      <c r="J518" s="765"/>
      <c r="K518" s="765"/>
      <c r="L518" s="765"/>
    </row>
    <row r="519" spans="1:68" x14ac:dyDescent="0.2">
      <c r="G519" s="603"/>
      <c r="H519" s="764"/>
      <c r="I519" s="765"/>
      <c r="J519" s="765"/>
      <c r="K519" s="765"/>
      <c r="L519" s="765"/>
    </row>
    <row r="520" spans="1:68" ht="22.5" customHeight="1" x14ac:dyDescent="0.2">
      <c r="E520" s="1482" t="str">
        <f>IF(C4=2,"Montant total non réconcilié","UNRECONCILED TOTAL")</f>
        <v>UNRECONCILED TOTAL</v>
      </c>
      <c r="F520" s="1482"/>
      <c r="G520" s="711">
        <f>G516-G518</f>
        <v>0</v>
      </c>
      <c r="L520" s="739"/>
      <c r="M520" s="766"/>
    </row>
    <row r="521" spans="1:68" ht="12.75" customHeight="1" x14ac:dyDescent="0.2">
      <c r="G521" s="764"/>
      <c r="H521" s="1483" t="str">
        <f>IF(C4=2,"Montants non-réconciliés","Unreconciled Amounts")</f>
        <v>Unreconciled Amounts</v>
      </c>
      <c r="M521" s="766"/>
    </row>
    <row r="522" spans="1:68" ht="12.75" customHeight="1" x14ac:dyDescent="0.2">
      <c r="E522" s="1484" t="str">
        <f>'Set up ~ Config'!F43</f>
        <v>Asset Accounts</v>
      </c>
      <c r="F522" s="1484"/>
      <c r="G522" s="767">
        <v>988</v>
      </c>
      <c r="H522" s="1483"/>
      <c r="L522" s="768"/>
      <c r="M522" s="766"/>
    </row>
    <row r="523" spans="1:68" ht="22.5" customHeight="1" x14ac:dyDescent="0.2">
      <c r="E523" s="1488" t="str">
        <f>CONCATENATE('Set up ~ Config'!F45&amp;" "&amp;'Set up ~ Config'!G45)</f>
        <v>1010 - Other Cash in hand</v>
      </c>
      <c r="F523" s="1489"/>
      <c r="G523" s="715">
        <f>SUMIF($I$16:$I$515,$N523,$G$16:$G$515)</f>
        <v>0</v>
      </c>
      <c r="H523" s="716">
        <f>SUMIFS($G$16:$G$515,$B$16:$B$515,"",$I$16:$I$515,$N523)</f>
        <v>0</v>
      </c>
      <c r="K523" s="717"/>
      <c r="M523" s="769"/>
      <c r="N523" s="865" t="str">
        <f>'Set up ~ Config'!$AG17</f>
        <v>1010</v>
      </c>
      <c r="O523" s="12" t="str">
        <f t="shared" ref="O523:O567" si="50">E523</f>
        <v>1010 - Other Cash in hand</v>
      </c>
    </row>
    <row r="524" spans="1:68" ht="22.5" customHeight="1" x14ac:dyDescent="0.2">
      <c r="E524" s="1488" t="str">
        <f>CONCATENATE('Set up ~ Config'!F46&amp;" "&amp;'Set up ~ Config'!G46)</f>
        <v>1015 - Main Bank Account</v>
      </c>
      <c r="F524" s="1489"/>
      <c r="G524" s="715">
        <f t="shared" ref="G524:G567" si="51">SUMIF($I$16:$I$515,$N524,$G$16:$G$515)</f>
        <v>0</v>
      </c>
      <c r="H524" s="716">
        <f t="shared" ref="H524:H567" si="52">SUMIFS($G$16:$G$515,$B$16:$B$515,"",$I$16:$I$515,$N524)</f>
        <v>0</v>
      </c>
      <c r="K524" s="717"/>
      <c r="M524" s="769"/>
      <c r="N524" s="865" t="str">
        <f>'Set up ~ Config'!$AG18</f>
        <v>1015</v>
      </c>
      <c r="O524" s="12" t="str">
        <f t="shared" si="50"/>
        <v>1015 - Main Bank Account</v>
      </c>
    </row>
    <row r="525" spans="1:68" ht="22.5" customHeight="1" x14ac:dyDescent="0.2">
      <c r="E525" s="1488" t="str">
        <f>CONCATENATE('Set up ~ Config'!F47&amp;" "&amp;'Set up ~ Config'!G47)</f>
        <v>1020 - Canteen</v>
      </c>
      <c r="F525" s="1489"/>
      <c r="G525" s="715">
        <f t="shared" si="51"/>
        <v>0</v>
      </c>
      <c r="H525" s="716">
        <f t="shared" si="52"/>
        <v>0</v>
      </c>
      <c r="K525" s="717"/>
      <c r="M525" s="769"/>
      <c r="N525" s="865" t="str">
        <f>'Set up ~ Config'!$AG19</f>
        <v>1020</v>
      </c>
      <c r="O525" s="12" t="str">
        <f t="shared" si="50"/>
        <v>1020 - Canteen</v>
      </c>
    </row>
    <row r="526" spans="1:68" ht="22.5" customHeight="1" x14ac:dyDescent="0.2">
      <c r="E526" s="1488" t="str">
        <f>CONCATENATE('Set up ~ Config'!F48&amp;" "&amp;'Set up ~ Config'!G48)</f>
        <v>1025 - Petty Cash</v>
      </c>
      <c r="F526" s="1489"/>
      <c r="G526" s="715">
        <f t="shared" si="51"/>
        <v>0</v>
      </c>
      <c r="H526" s="716">
        <f t="shared" si="52"/>
        <v>0</v>
      </c>
      <c r="K526" s="717"/>
      <c r="M526" s="769"/>
      <c r="N526" s="865" t="str">
        <f>'Set up ~ Config'!$AG20</f>
        <v>1025</v>
      </c>
      <c r="O526" s="12" t="str">
        <f t="shared" si="50"/>
        <v>1025 - Petty Cash</v>
      </c>
    </row>
    <row r="527" spans="1:68" ht="22.5" customHeight="1" x14ac:dyDescent="0.2">
      <c r="E527" s="1488" t="str">
        <f>CONCATENATE('Set up ~ Config'!F49&amp;" "&amp;'Set up ~ Config'!G49)</f>
        <v>1030 - Receivables - Short Term</v>
      </c>
      <c r="F527" s="1489"/>
      <c r="G527" s="715">
        <f t="shared" si="51"/>
        <v>0</v>
      </c>
      <c r="H527" s="716">
        <f t="shared" si="52"/>
        <v>0</v>
      </c>
      <c r="K527" s="717"/>
      <c r="M527" s="769"/>
      <c r="N527" s="865" t="str">
        <f>'Set up ~ Config'!$AG21</f>
        <v>1030</v>
      </c>
      <c r="O527" s="12" t="str">
        <f t="shared" si="50"/>
        <v>1030 - Receivables - Short Term</v>
      </c>
    </row>
    <row r="528" spans="1:68" ht="22.5" customHeight="1" x14ac:dyDescent="0.2">
      <c r="E528" s="1488" t="str">
        <f>CONCATENATE('Set up ~ Config'!F50&amp;" "&amp;'Set up ~ Config'!G50)</f>
        <v>1035 - Disponible ~ Available</v>
      </c>
      <c r="F528" s="1489"/>
      <c r="G528" s="715">
        <f t="shared" si="51"/>
        <v>0</v>
      </c>
      <c r="H528" s="716">
        <f t="shared" si="52"/>
        <v>0</v>
      </c>
      <c r="K528" s="717"/>
      <c r="M528" s="769"/>
      <c r="N528" s="865" t="str">
        <f>'Set up ~ Config'!$AG22</f>
        <v>1035</v>
      </c>
      <c r="O528" s="12" t="str">
        <f t="shared" si="50"/>
        <v>1035 - Disponible ~ Available</v>
      </c>
    </row>
    <row r="529" spans="5:17" ht="22.5" customHeight="1" x14ac:dyDescent="0.2">
      <c r="E529" s="1488" t="str">
        <f>CONCATENATE('Set up ~ Config'!F51&amp;" "&amp;'Set up ~ Config'!G51)</f>
        <v>1040 - Disponible ~ Available</v>
      </c>
      <c r="F529" s="1489"/>
      <c r="G529" s="715">
        <f t="shared" si="51"/>
        <v>0</v>
      </c>
      <c r="H529" s="716">
        <f t="shared" si="52"/>
        <v>0</v>
      </c>
      <c r="K529" s="717"/>
      <c r="M529" s="769"/>
      <c r="N529" s="865" t="str">
        <f>'Set up ~ Config'!$AG23</f>
        <v>1040</v>
      </c>
      <c r="O529" s="12" t="str">
        <f t="shared" si="50"/>
        <v>1040 - Disponible ~ Available</v>
      </c>
      <c r="Q529" s="603"/>
    </row>
    <row r="530" spans="5:17" ht="22.5" customHeight="1" x14ac:dyDescent="0.2">
      <c r="E530" s="1488" t="str">
        <f>CONCATENATE('Set up ~ Config'!F52&amp;" "&amp;'Set up ~ Config'!G52)</f>
        <v>1045 - Disponible ~ Available</v>
      </c>
      <c r="F530" s="1489"/>
      <c r="G530" s="715">
        <f t="shared" si="51"/>
        <v>0</v>
      </c>
      <c r="H530" s="716">
        <f t="shared" si="52"/>
        <v>0</v>
      </c>
      <c r="K530" s="717"/>
      <c r="M530" s="769"/>
      <c r="N530" s="865" t="str">
        <f>'Set up ~ Config'!$AG24</f>
        <v>1045</v>
      </c>
      <c r="O530" s="12" t="str">
        <f t="shared" si="50"/>
        <v>1045 - Disponible ~ Available</v>
      </c>
      <c r="Q530" s="603"/>
    </row>
    <row r="531" spans="5:17" ht="22.5" customHeight="1" x14ac:dyDescent="0.2">
      <c r="E531" s="1488" t="str">
        <f>CONCATENATE('Set up ~ Config'!F53&amp;" "&amp;'Set up ~ Config'!G53)</f>
        <v>1050 - Disponible ~ Available</v>
      </c>
      <c r="F531" s="1489"/>
      <c r="G531" s="715">
        <f t="shared" si="51"/>
        <v>0</v>
      </c>
      <c r="H531" s="716">
        <f t="shared" si="52"/>
        <v>0</v>
      </c>
      <c r="K531" s="717"/>
      <c r="M531" s="769"/>
      <c r="N531" s="865" t="str">
        <f>'Set up ~ Config'!$AG25</f>
        <v>1050</v>
      </c>
      <c r="O531" s="12" t="str">
        <f t="shared" si="50"/>
        <v>1050 - Disponible ~ Available</v>
      </c>
      <c r="Q531" s="603"/>
    </row>
    <row r="532" spans="5:17" ht="22.5" customHeight="1" x14ac:dyDescent="0.2">
      <c r="E532" s="1488" t="str">
        <f>CONCATENATE('Set up ~ Config'!F54&amp;" "&amp;'Set up ~ Config'!G54)</f>
        <v>1055 - Disponible ~ Available</v>
      </c>
      <c r="F532" s="1489"/>
      <c r="G532" s="715">
        <f t="shared" si="51"/>
        <v>0</v>
      </c>
      <c r="H532" s="716">
        <f t="shared" si="52"/>
        <v>0</v>
      </c>
      <c r="K532" s="717"/>
      <c r="M532" s="769"/>
      <c r="N532" s="865" t="str">
        <f>'Set up ~ Config'!$AG26</f>
        <v>1055</v>
      </c>
      <c r="O532" s="12" t="str">
        <f t="shared" si="50"/>
        <v>1055 - Disponible ~ Available</v>
      </c>
      <c r="Q532" s="603"/>
    </row>
    <row r="533" spans="5:17" ht="22.5" customHeight="1" x14ac:dyDescent="0.2">
      <c r="E533" s="1488" t="str">
        <f>CONCATENATE('Set up ~ Config'!F55&amp;" "&amp;'Set up ~ Config'!G55)</f>
        <v>1060 - Disponible ~ Available</v>
      </c>
      <c r="F533" s="1489"/>
      <c r="G533" s="715">
        <f t="shared" si="51"/>
        <v>0</v>
      </c>
      <c r="H533" s="716">
        <f t="shared" si="52"/>
        <v>0</v>
      </c>
      <c r="K533" s="717"/>
      <c r="M533" s="769"/>
      <c r="N533" s="865" t="str">
        <f>'Set up ~ Config'!$AG27</f>
        <v>1060</v>
      </c>
      <c r="O533" s="12" t="str">
        <f t="shared" si="50"/>
        <v>1060 - Disponible ~ Available</v>
      </c>
      <c r="Q533" s="603"/>
    </row>
    <row r="534" spans="5:17" ht="22.5" customHeight="1" x14ac:dyDescent="0.2">
      <c r="E534" s="1488" t="str">
        <f>CONCATENATE('Set up ~ Config'!F56&amp;" "&amp;'Set up ~ Config'!G56)</f>
        <v>1065 - Disponible ~ Available</v>
      </c>
      <c r="F534" s="1489"/>
      <c r="G534" s="715">
        <f t="shared" si="51"/>
        <v>0</v>
      </c>
      <c r="H534" s="716">
        <f t="shared" si="52"/>
        <v>0</v>
      </c>
      <c r="K534" s="717"/>
      <c r="M534" s="769"/>
      <c r="N534" s="865" t="str">
        <f>'Set up ~ Config'!$AG28</f>
        <v>1065</v>
      </c>
      <c r="O534" s="12" t="str">
        <f t="shared" si="50"/>
        <v>1065 - Disponible ~ Available</v>
      </c>
      <c r="Q534" s="603"/>
    </row>
    <row r="535" spans="5:17" ht="22.5" customHeight="1" x14ac:dyDescent="0.2">
      <c r="E535" s="1488" t="str">
        <f>CONCATENATE('Set up ~ Config'!F57&amp;" "&amp;'Set up ~ Config'!G57)</f>
        <v>1070 - Disponible ~ Available</v>
      </c>
      <c r="F535" s="1489"/>
      <c r="G535" s="715">
        <f t="shared" si="51"/>
        <v>0</v>
      </c>
      <c r="H535" s="716">
        <f t="shared" si="52"/>
        <v>0</v>
      </c>
      <c r="K535" s="717"/>
      <c r="M535" s="769"/>
      <c r="N535" s="865" t="str">
        <f>'Set up ~ Config'!$AG29</f>
        <v>1070</v>
      </c>
      <c r="O535" s="12" t="str">
        <f t="shared" si="50"/>
        <v>1070 - Disponible ~ Available</v>
      </c>
      <c r="Q535" s="603"/>
    </row>
    <row r="536" spans="5:17" ht="22.5" customHeight="1" x14ac:dyDescent="0.2">
      <c r="E536" s="1488" t="str">
        <f>CONCATENATE('Set up ~ Config'!F58&amp;" "&amp;'Set up ~ Config'!G58)</f>
        <v>1075 - Disponible ~ Available</v>
      </c>
      <c r="F536" s="1489"/>
      <c r="G536" s="715">
        <f t="shared" si="51"/>
        <v>0</v>
      </c>
      <c r="H536" s="716">
        <f t="shared" si="52"/>
        <v>0</v>
      </c>
      <c r="K536" s="717"/>
      <c r="M536" s="769"/>
      <c r="N536" s="865" t="str">
        <f>'Set up ~ Config'!$AG30</f>
        <v>1075</v>
      </c>
      <c r="O536" s="12" t="str">
        <f t="shared" si="50"/>
        <v>1075 - Disponible ~ Available</v>
      </c>
      <c r="Q536" s="603"/>
    </row>
    <row r="537" spans="5:17" ht="22.5" customHeight="1" x14ac:dyDescent="0.2">
      <c r="E537" s="1488" t="str">
        <f>CONCATENATE('Set up ~ Config'!F59&amp;" "&amp;'Set up ~ Config'!G59)</f>
        <v>1080 - Disponible ~ Available</v>
      </c>
      <c r="F537" s="1489"/>
      <c r="G537" s="715">
        <f t="shared" si="51"/>
        <v>0</v>
      </c>
      <c r="H537" s="716">
        <f t="shared" si="52"/>
        <v>0</v>
      </c>
      <c r="K537" s="717"/>
      <c r="M537" s="769"/>
      <c r="N537" s="865" t="str">
        <f>'Set up ~ Config'!$AG31</f>
        <v>1080</v>
      </c>
      <c r="O537" s="12" t="str">
        <f t="shared" si="50"/>
        <v>1080 - Disponible ~ Available</v>
      </c>
      <c r="Q537" s="603"/>
    </row>
    <row r="538" spans="5:17" ht="22.5" customHeight="1" x14ac:dyDescent="0.2">
      <c r="E538" s="1488" t="str">
        <f>CONCATENATE('Set up ~ Config'!F60&amp;" "&amp;'Set up ~ Config'!G60)</f>
        <v>1085 - Disponible ~ Available</v>
      </c>
      <c r="F538" s="1489"/>
      <c r="G538" s="715">
        <f t="shared" si="51"/>
        <v>0</v>
      </c>
      <c r="H538" s="716">
        <f t="shared" si="52"/>
        <v>0</v>
      </c>
      <c r="K538" s="717"/>
      <c r="M538" s="769"/>
      <c r="N538" s="865" t="str">
        <f>'Set up ~ Config'!$AG32</f>
        <v>1085</v>
      </c>
      <c r="O538" s="12" t="str">
        <f t="shared" si="50"/>
        <v>1085 - Disponible ~ Available</v>
      </c>
      <c r="Q538" s="603"/>
    </row>
    <row r="539" spans="5:17" ht="22.5" customHeight="1" x14ac:dyDescent="0.2">
      <c r="E539" s="1488" t="str">
        <f>CONCATENATE('Set up ~ Config'!F61&amp;" "&amp;'Set up ~ Config'!G61)</f>
        <v>1090 - Disponible ~ Available</v>
      </c>
      <c r="F539" s="1489"/>
      <c r="G539" s="715">
        <f t="shared" si="51"/>
        <v>0</v>
      </c>
      <c r="H539" s="716">
        <f t="shared" si="52"/>
        <v>0</v>
      </c>
      <c r="K539" s="717"/>
      <c r="M539" s="769"/>
      <c r="N539" s="865" t="str">
        <f>'Set up ~ Config'!$AG33</f>
        <v>1090</v>
      </c>
      <c r="O539" s="12" t="str">
        <f t="shared" si="50"/>
        <v>1090 - Disponible ~ Available</v>
      </c>
      <c r="Q539" s="603"/>
    </row>
    <row r="540" spans="5:17" ht="22.5" customHeight="1" x14ac:dyDescent="0.2">
      <c r="E540" s="1488" t="str">
        <f>CONCATENATE('Set up ~ Config'!F62&amp;" "&amp;'Set up ~ Config'!G62)</f>
        <v>1095 - Disponible ~ Available</v>
      </c>
      <c r="F540" s="1489"/>
      <c r="G540" s="715">
        <f t="shared" si="51"/>
        <v>0</v>
      </c>
      <c r="H540" s="716">
        <f t="shared" si="52"/>
        <v>0</v>
      </c>
      <c r="K540" s="717"/>
      <c r="M540" s="769"/>
      <c r="N540" s="865">
        <f>'Set up ~ Config'!$AG34</f>
        <v>0</v>
      </c>
      <c r="O540" s="12" t="str">
        <f t="shared" si="50"/>
        <v>1095 - Disponible ~ Available</v>
      </c>
      <c r="Q540" s="603"/>
    </row>
    <row r="541" spans="5:17" ht="22.5" customHeight="1" x14ac:dyDescent="0.2">
      <c r="E541" s="1488" t="str">
        <f>CONCATENATE('Set up ~ Config'!F64&amp;" "&amp;'Set up ~ Config'!G64)</f>
        <v>1210 - Investments GICs</v>
      </c>
      <c r="F541" s="1489"/>
      <c r="G541" s="715">
        <f t="shared" si="51"/>
        <v>0</v>
      </c>
      <c r="H541" s="716">
        <f t="shared" si="52"/>
        <v>0</v>
      </c>
      <c r="K541" s="717"/>
      <c r="M541" s="769"/>
      <c r="N541" s="865" t="str">
        <f>'Set up ~ Config'!$AG35</f>
        <v>1210</v>
      </c>
      <c r="O541" s="12" t="str">
        <f t="shared" si="50"/>
        <v>1210 - Investments GICs</v>
      </c>
    </row>
    <row r="542" spans="5:17" ht="22.5" customHeight="1" x14ac:dyDescent="0.2">
      <c r="E542" s="1488" t="str">
        <f>CONCATENATE('Set up ~ Config'!F65&amp;" "&amp;'Set up ~ Config'!G65)</f>
        <v>1220 - Investments (Mutual Funds and such)</v>
      </c>
      <c r="F542" s="1489"/>
      <c r="G542" s="715">
        <f t="shared" si="51"/>
        <v>0</v>
      </c>
      <c r="H542" s="716">
        <f t="shared" si="52"/>
        <v>0</v>
      </c>
      <c r="K542" s="717"/>
      <c r="M542" s="769"/>
      <c r="N542" s="865" t="str">
        <f>'Set up ~ Config'!$AG36</f>
        <v>1220</v>
      </c>
      <c r="O542" s="12" t="str">
        <f t="shared" si="50"/>
        <v>1220 - Investments (Mutual Funds and such)</v>
      </c>
    </row>
    <row r="543" spans="5:17" ht="22.5" customHeight="1" x14ac:dyDescent="0.2">
      <c r="E543" s="1488" t="str">
        <f>CONCATENATE('Set up ~ Config'!F66&amp;" "&amp;'Set up ~ Config'!G66)</f>
        <v>1230 - Disponible ~ Available</v>
      </c>
      <c r="F543" s="1489"/>
      <c r="G543" s="715">
        <f t="shared" si="51"/>
        <v>0</v>
      </c>
      <c r="H543" s="716">
        <f t="shared" si="52"/>
        <v>0</v>
      </c>
      <c r="K543" s="717"/>
      <c r="M543" s="769"/>
      <c r="N543" s="865" t="str">
        <f>'Set up ~ Config'!$AG37</f>
        <v>1230</v>
      </c>
      <c r="O543" s="12" t="str">
        <f t="shared" si="50"/>
        <v>1230 - Disponible ~ Available</v>
      </c>
    </row>
    <row r="544" spans="5:17" ht="22.5" customHeight="1" x14ac:dyDescent="0.2">
      <c r="E544" s="1488" t="str">
        <f>CONCATENATE('Set up ~ Config'!F67&amp;" "&amp;'Set up ~ Config'!G67)</f>
        <v>1240 - Disponible ~ Available</v>
      </c>
      <c r="F544" s="1489"/>
      <c r="G544" s="715">
        <f t="shared" si="51"/>
        <v>0</v>
      </c>
      <c r="H544" s="716">
        <f t="shared" si="52"/>
        <v>0</v>
      </c>
      <c r="K544" s="717"/>
      <c r="M544" s="769"/>
      <c r="N544" s="865" t="str">
        <f>'Set up ~ Config'!$AG38</f>
        <v>1240</v>
      </c>
      <c r="O544" s="12" t="str">
        <f t="shared" si="50"/>
        <v>1240 - Disponible ~ Available</v>
      </c>
    </row>
    <row r="545" spans="5:15" ht="22.5" customHeight="1" x14ac:dyDescent="0.2">
      <c r="E545" s="1488" t="str">
        <f>CONCATENATE('Set up ~ Config'!F68&amp;" "&amp;'Set up ~ Config'!G68)</f>
        <v>1250 - Disponible ~ Available</v>
      </c>
      <c r="F545" s="1489"/>
      <c r="G545" s="715">
        <f t="shared" si="51"/>
        <v>0</v>
      </c>
      <c r="H545" s="716">
        <f t="shared" si="52"/>
        <v>0</v>
      </c>
      <c r="K545" s="717"/>
      <c r="M545" s="769"/>
      <c r="N545" s="865" t="str">
        <f>'Set up ~ Config'!$AG39</f>
        <v>1250</v>
      </c>
      <c r="O545" s="12" t="str">
        <f t="shared" si="50"/>
        <v>1250 - Disponible ~ Available</v>
      </c>
    </row>
    <row r="546" spans="5:15" ht="22.5" customHeight="1" x14ac:dyDescent="0.2">
      <c r="E546" s="1488" t="str">
        <f>CONCATENATE('Set up ~ Config'!F69&amp;" "&amp;'Set up ~ Config'!G69)</f>
        <v>1260 - Disponible ~ Available</v>
      </c>
      <c r="F546" s="1489"/>
      <c r="G546" s="715">
        <f t="shared" si="51"/>
        <v>0</v>
      </c>
      <c r="H546" s="716">
        <f t="shared" si="52"/>
        <v>0</v>
      </c>
      <c r="K546" s="717"/>
      <c r="M546" s="769"/>
      <c r="N546" s="865" t="str">
        <f>'Set up ~ Config'!$AG40</f>
        <v>1260</v>
      </c>
      <c r="O546" s="12" t="str">
        <f t="shared" si="50"/>
        <v>1260 - Disponible ~ Available</v>
      </c>
    </row>
    <row r="547" spans="5:15" ht="22.5" customHeight="1" x14ac:dyDescent="0.2">
      <c r="E547" s="1488" t="str">
        <f>CONCATENATE('Set up ~ Config'!F70&amp;" "&amp;'Set up ~ Config'!G70)</f>
        <v>1270 - Disponible ~ Available</v>
      </c>
      <c r="F547" s="1489"/>
      <c r="G547" s="715">
        <f t="shared" si="51"/>
        <v>0</v>
      </c>
      <c r="H547" s="716">
        <f t="shared" si="52"/>
        <v>0</v>
      </c>
      <c r="K547" s="717"/>
      <c r="M547" s="769"/>
      <c r="N547" s="865" t="str">
        <f>'Set up ~ Config'!$AG41</f>
        <v>1270</v>
      </c>
      <c r="O547" s="12" t="str">
        <f t="shared" si="50"/>
        <v>1270 - Disponible ~ Available</v>
      </c>
    </row>
    <row r="548" spans="5:15" ht="22.5" customHeight="1" x14ac:dyDescent="0.2">
      <c r="E548" s="1488" t="str">
        <f>CONCATENATE('Set up ~ Config'!F71&amp;" "&amp;'Set up ~ Config'!G71)</f>
        <v>1280 - Disponible ~ Available</v>
      </c>
      <c r="F548" s="1489"/>
      <c r="G548" s="715">
        <f t="shared" si="51"/>
        <v>0</v>
      </c>
      <c r="H548" s="716">
        <f t="shared" si="52"/>
        <v>0</v>
      </c>
      <c r="K548" s="717"/>
      <c r="M548" s="769"/>
      <c r="N548" s="865" t="str">
        <f>'Set up ~ Config'!$AG42</f>
        <v>1280</v>
      </c>
      <c r="O548" s="12" t="str">
        <f t="shared" si="50"/>
        <v>1280 - Disponible ~ Available</v>
      </c>
    </row>
    <row r="549" spans="5:15" ht="22.5" customHeight="1" x14ac:dyDescent="0.2">
      <c r="E549" s="1488" t="str">
        <f>CONCATENATE('Set up ~ Config'!F72&amp;" "&amp;'Set up ~ Config'!G72)</f>
        <v>1290 - Disponible ~ Available</v>
      </c>
      <c r="F549" s="1489"/>
      <c r="G549" s="715">
        <f t="shared" si="51"/>
        <v>0</v>
      </c>
      <c r="H549" s="716">
        <f t="shared" si="52"/>
        <v>0</v>
      </c>
      <c r="K549" s="717"/>
      <c r="M549" s="769"/>
      <c r="N549" s="865" t="str">
        <f>'Set up ~ Config'!$AG43</f>
        <v>1290</v>
      </c>
      <c r="O549" s="12" t="str">
        <f t="shared" si="50"/>
        <v>1290 - Disponible ~ Available</v>
      </c>
    </row>
    <row r="550" spans="5:15" ht="22.5" customHeight="1" x14ac:dyDescent="0.2">
      <c r="E550" s="1488" t="str">
        <f>CONCATENATE('Set up ~ Config'!F76&amp;" "&amp;'Set up ~ Config'!G76)</f>
        <v>2010 - Credit Card</v>
      </c>
      <c r="F550" s="1489"/>
      <c r="G550" s="715">
        <f t="shared" si="51"/>
        <v>0</v>
      </c>
      <c r="H550" s="716">
        <f t="shared" si="52"/>
        <v>0</v>
      </c>
      <c r="K550" s="717"/>
      <c r="N550" s="865" t="str">
        <f>'Set up ~ Config'!$AG44</f>
        <v>2010</v>
      </c>
      <c r="O550" s="12" t="str">
        <f t="shared" si="50"/>
        <v>2010 - Credit Card</v>
      </c>
    </row>
    <row r="551" spans="5:15" ht="22.5" customHeight="1" x14ac:dyDescent="0.2">
      <c r="E551" s="1488" t="str">
        <f>CONCATENATE('Set up ~ Config'!F77&amp;" "&amp;'Set up ~ Config'!G77)</f>
        <v>2020 - Payables - Short Terms</v>
      </c>
      <c r="F551" s="1489"/>
      <c r="G551" s="715">
        <f t="shared" si="51"/>
        <v>0</v>
      </c>
      <c r="H551" s="716">
        <f t="shared" si="52"/>
        <v>0</v>
      </c>
      <c r="K551" s="717"/>
      <c r="N551" s="865" t="str">
        <f>'Set up ~ Config'!$AG45</f>
        <v>2020</v>
      </c>
      <c r="O551" s="12" t="str">
        <f t="shared" si="50"/>
        <v>2020 - Payables - Short Terms</v>
      </c>
    </row>
    <row r="552" spans="5:15" ht="22.5" customHeight="1" x14ac:dyDescent="0.2">
      <c r="E552" s="1488" t="str">
        <f>CONCATENATE('Set up ~ Config'!F78&amp;" "&amp;'Set up ~ Config'!G78)</f>
        <v>2030 - Disponible ~ Available</v>
      </c>
      <c r="F552" s="1489"/>
      <c r="G552" s="715">
        <f t="shared" si="51"/>
        <v>0</v>
      </c>
      <c r="H552" s="716">
        <f t="shared" si="52"/>
        <v>0</v>
      </c>
      <c r="K552" s="717"/>
      <c r="N552" s="865" t="str">
        <f>'Set up ~ Config'!$AG46</f>
        <v>2030</v>
      </c>
      <c r="O552" s="12" t="str">
        <f t="shared" si="50"/>
        <v>2030 - Disponible ~ Available</v>
      </c>
    </row>
    <row r="553" spans="5:15" ht="22.5" customHeight="1" x14ac:dyDescent="0.2">
      <c r="E553" s="1488" t="str">
        <f>CONCATENATE('Set up ~ Config'!F79&amp;" "&amp;'Set up ~ Config'!G79)</f>
        <v>2040 - Disponible ~ Available</v>
      </c>
      <c r="F553" s="1489"/>
      <c r="G553" s="715">
        <f t="shared" si="51"/>
        <v>0</v>
      </c>
      <c r="H553" s="716">
        <f t="shared" si="52"/>
        <v>0</v>
      </c>
      <c r="K553" s="717"/>
      <c r="N553" s="865" t="str">
        <f>'Set up ~ Config'!$AG47</f>
        <v>2040</v>
      </c>
      <c r="O553" s="12" t="str">
        <f t="shared" si="50"/>
        <v>2040 - Disponible ~ Available</v>
      </c>
    </row>
    <row r="554" spans="5:15" ht="22.5" customHeight="1" x14ac:dyDescent="0.2">
      <c r="E554" s="1488" t="str">
        <f>CONCATENATE('Set up ~ Config'!F80&amp;" "&amp;'Set up ~ Config'!G80)</f>
        <v>2050 - Disponible ~ Available</v>
      </c>
      <c r="F554" s="1489"/>
      <c r="G554" s="715">
        <f t="shared" si="51"/>
        <v>0</v>
      </c>
      <c r="H554" s="716">
        <f t="shared" si="52"/>
        <v>0</v>
      </c>
      <c r="K554" s="717"/>
      <c r="N554" s="865" t="str">
        <f>'Set up ~ Config'!$AG48</f>
        <v>2050</v>
      </c>
      <c r="O554" s="12" t="str">
        <f t="shared" si="50"/>
        <v>2050 - Disponible ~ Available</v>
      </c>
    </row>
    <row r="555" spans="5:15" ht="22.5" customHeight="1" x14ac:dyDescent="0.2">
      <c r="E555" s="1488" t="str">
        <f>CONCATENATE('Set up ~ Config'!F81&amp;" "&amp;'Set up ~ Config'!G81)</f>
        <v>2060 - Disponible ~ Available</v>
      </c>
      <c r="F555" s="1489"/>
      <c r="G555" s="715">
        <f t="shared" si="51"/>
        <v>0</v>
      </c>
      <c r="H555" s="716">
        <f t="shared" si="52"/>
        <v>0</v>
      </c>
      <c r="K555" s="717"/>
      <c r="N555" s="865" t="str">
        <f>'Set up ~ Config'!$AG49</f>
        <v>2060</v>
      </c>
      <c r="O555" s="12" t="str">
        <f t="shared" si="50"/>
        <v>2060 - Disponible ~ Available</v>
      </c>
    </row>
    <row r="556" spans="5:15" ht="22.5" customHeight="1" x14ac:dyDescent="0.2">
      <c r="E556" s="1488" t="str">
        <f>CONCATENATE('Set up ~ Config'!F82&amp;" "&amp;'Set up ~ Config'!G82)</f>
        <v>2070 - Disponible ~ Available</v>
      </c>
      <c r="F556" s="1489"/>
      <c r="G556" s="715">
        <f t="shared" si="51"/>
        <v>0</v>
      </c>
      <c r="H556" s="716">
        <f t="shared" si="52"/>
        <v>0</v>
      </c>
      <c r="K556" s="717"/>
      <c r="N556" s="865" t="str">
        <f>'Set up ~ Config'!$AG50</f>
        <v>2070</v>
      </c>
      <c r="O556" s="12" t="str">
        <f t="shared" si="50"/>
        <v>2070 - Disponible ~ Available</v>
      </c>
    </row>
    <row r="557" spans="5:15" ht="22.5" customHeight="1" x14ac:dyDescent="0.2">
      <c r="E557" s="1488" t="str">
        <f>CONCATENATE('Set up ~ Config'!F83&amp;" "&amp;'Set up ~ Config'!G83)</f>
        <v>2080 - Disponible ~ Available</v>
      </c>
      <c r="F557" s="1489"/>
      <c r="G557" s="715">
        <f t="shared" si="51"/>
        <v>0</v>
      </c>
      <c r="H557" s="716">
        <f t="shared" si="52"/>
        <v>0</v>
      </c>
      <c r="K557" s="717"/>
      <c r="N557" s="865" t="str">
        <f>'Set up ~ Config'!$AG51</f>
        <v>2080</v>
      </c>
      <c r="O557" s="12" t="str">
        <f t="shared" si="50"/>
        <v>2080 - Disponible ~ Available</v>
      </c>
    </row>
    <row r="558" spans="5:15" ht="22.5" customHeight="1" x14ac:dyDescent="0.2">
      <c r="E558" s="1488" t="str">
        <f>CONCATENATE('Set up ~ Config'!F84&amp;" "&amp;'Set up ~ Config'!G84)</f>
        <v>2090 - Disponible ~ Available</v>
      </c>
      <c r="F558" s="1489"/>
      <c r="G558" s="715">
        <f t="shared" si="51"/>
        <v>0</v>
      </c>
      <c r="H558" s="716">
        <f t="shared" si="52"/>
        <v>0</v>
      </c>
      <c r="K558" s="717"/>
      <c r="N558" s="865" t="str">
        <f>'Set up ~ Config'!$AG52</f>
        <v>2090</v>
      </c>
      <c r="O558" s="12" t="str">
        <f t="shared" si="50"/>
        <v>2090 - Disponible ~ Available</v>
      </c>
    </row>
    <row r="559" spans="5:15" ht="22.5" customHeight="1" x14ac:dyDescent="0.2">
      <c r="E559" s="1488" t="str">
        <f>CONCATENATE('Set up ~ Config'!F86&amp;" "&amp;'Set up ~ Config'!G86)</f>
        <v>2210 - Mortgage</v>
      </c>
      <c r="F559" s="1489"/>
      <c r="G559" s="715">
        <f t="shared" si="51"/>
        <v>0</v>
      </c>
      <c r="H559" s="716">
        <f t="shared" si="52"/>
        <v>0</v>
      </c>
      <c r="K559" s="717"/>
      <c r="N559" s="865" t="str">
        <f>'Set up ~ Config'!$AG53</f>
        <v>2210</v>
      </c>
      <c r="O559" s="12" t="str">
        <f t="shared" si="50"/>
        <v>2210 - Mortgage</v>
      </c>
    </row>
    <row r="560" spans="5:15" ht="22.5" customHeight="1" x14ac:dyDescent="0.2">
      <c r="E560" s="1488" t="str">
        <f>CONCATENATE('Set up ~ Config'!F87&amp;" "&amp;'Set up ~ Config'!G87)</f>
        <v>2220 - Bank Loan</v>
      </c>
      <c r="F560" s="1489"/>
      <c r="G560" s="715">
        <f t="shared" si="51"/>
        <v>0</v>
      </c>
      <c r="H560" s="716">
        <f t="shared" si="52"/>
        <v>0</v>
      </c>
      <c r="K560" s="717"/>
      <c r="N560" s="865" t="str">
        <f>'Set up ~ Config'!$AG54</f>
        <v>2220</v>
      </c>
      <c r="O560" s="12" t="str">
        <f t="shared" si="50"/>
        <v>2220 - Bank Loan</v>
      </c>
    </row>
    <row r="561" spans="2:15" ht="22.5" customHeight="1" x14ac:dyDescent="0.2">
      <c r="E561" s="1488" t="str">
        <f>CONCATENATE('Set up ~ Config'!F88&amp;" "&amp;'Set up ~ Config'!G88)</f>
        <v>2230 - Disponible ~ Available</v>
      </c>
      <c r="F561" s="1489"/>
      <c r="G561" s="715">
        <f t="shared" si="51"/>
        <v>0</v>
      </c>
      <c r="H561" s="716">
        <f t="shared" si="52"/>
        <v>0</v>
      </c>
      <c r="K561" s="717"/>
      <c r="N561" s="865" t="str">
        <f>'Set up ~ Config'!$AG55</f>
        <v>2230</v>
      </c>
      <c r="O561" s="12" t="str">
        <f t="shared" si="50"/>
        <v>2230 - Disponible ~ Available</v>
      </c>
    </row>
    <row r="562" spans="2:15" ht="22.5" customHeight="1" x14ac:dyDescent="0.2">
      <c r="E562" s="1488" t="str">
        <f>CONCATENATE('Set up ~ Config'!F89&amp;" "&amp;'Set up ~ Config'!G89)</f>
        <v>2240 - Disponible ~ Available</v>
      </c>
      <c r="F562" s="1489"/>
      <c r="G562" s="715">
        <f t="shared" si="51"/>
        <v>0</v>
      </c>
      <c r="H562" s="716">
        <f t="shared" si="52"/>
        <v>0</v>
      </c>
      <c r="K562" s="717"/>
      <c r="N562" s="865" t="str">
        <f>'Set up ~ Config'!$AG56</f>
        <v>2240</v>
      </c>
      <c r="O562" s="12" t="str">
        <f t="shared" si="50"/>
        <v>2240 - Disponible ~ Available</v>
      </c>
    </row>
    <row r="563" spans="2:15" ht="22.5" customHeight="1" x14ac:dyDescent="0.2">
      <c r="E563" s="1488" t="str">
        <f>CONCATENATE('Set up ~ Config'!F90&amp;" "&amp;'Set up ~ Config'!G90)</f>
        <v>2250 - Disponible ~ Available</v>
      </c>
      <c r="F563" s="1489"/>
      <c r="G563" s="715">
        <f t="shared" si="51"/>
        <v>0</v>
      </c>
      <c r="H563" s="716">
        <f t="shared" si="52"/>
        <v>0</v>
      </c>
      <c r="K563" s="717"/>
      <c r="N563" s="865" t="str">
        <f>'Set up ~ Config'!$AG57</f>
        <v>2250</v>
      </c>
      <c r="O563" s="12" t="str">
        <f t="shared" si="50"/>
        <v>2250 - Disponible ~ Available</v>
      </c>
    </row>
    <row r="564" spans="2:15" ht="22.5" customHeight="1" x14ac:dyDescent="0.2">
      <c r="E564" s="1488" t="str">
        <f>CONCATENATE('Set up ~ Config'!F91&amp;" "&amp;'Set up ~ Config'!G91)</f>
        <v>2260 - Disponible ~ Available</v>
      </c>
      <c r="F564" s="1489"/>
      <c r="G564" s="715">
        <f t="shared" si="51"/>
        <v>0</v>
      </c>
      <c r="H564" s="716">
        <f t="shared" si="52"/>
        <v>0</v>
      </c>
      <c r="K564" s="717"/>
      <c r="N564" s="865" t="str">
        <f>'Set up ~ Config'!$AG58</f>
        <v>2260</v>
      </c>
      <c r="O564" s="12" t="str">
        <f t="shared" si="50"/>
        <v>2260 - Disponible ~ Available</v>
      </c>
    </row>
    <row r="565" spans="2:15" ht="22.5" customHeight="1" x14ac:dyDescent="0.2">
      <c r="E565" s="1488" t="str">
        <f>CONCATENATE('Set up ~ Config'!F92&amp;" "&amp;'Set up ~ Config'!G92)</f>
        <v>2270 - Disponible ~ Available</v>
      </c>
      <c r="F565" s="1489"/>
      <c r="G565" s="715">
        <f t="shared" si="51"/>
        <v>0</v>
      </c>
      <c r="H565" s="716">
        <f t="shared" si="52"/>
        <v>0</v>
      </c>
      <c r="K565" s="717"/>
      <c r="N565" s="865" t="str">
        <f>'Set up ~ Config'!$AG59</f>
        <v>2270</v>
      </c>
      <c r="O565" s="12" t="str">
        <f t="shared" si="50"/>
        <v>2270 - Disponible ~ Available</v>
      </c>
    </row>
    <row r="566" spans="2:15" ht="22.5" customHeight="1" x14ac:dyDescent="0.2">
      <c r="E566" s="1488" t="str">
        <f>CONCATENATE('Set up ~ Config'!F93&amp;" "&amp;'Set up ~ Config'!G93)</f>
        <v>2280 - Disponible ~ Available</v>
      </c>
      <c r="F566" s="1489"/>
      <c r="G566" s="715">
        <f t="shared" si="51"/>
        <v>0</v>
      </c>
      <c r="H566" s="716">
        <f t="shared" si="52"/>
        <v>0</v>
      </c>
      <c r="K566" s="717"/>
      <c r="N566" s="865" t="str">
        <f>'Set up ~ Config'!$AG60</f>
        <v>2280</v>
      </c>
      <c r="O566" s="12" t="str">
        <f t="shared" si="50"/>
        <v>2280 - Disponible ~ Available</v>
      </c>
    </row>
    <row r="567" spans="2:15" ht="22.5" customHeight="1" x14ac:dyDescent="0.2">
      <c r="E567" s="1488" t="str">
        <f>CONCATENATE('Set up ~ Config'!F94&amp;" "&amp;'Set up ~ Config'!G94)</f>
        <v>2290 - Disponible ~ Available</v>
      </c>
      <c r="F567" s="1489"/>
      <c r="G567" s="715">
        <f t="shared" si="51"/>
        <v>0</v>
      </c>
      <c r="H567" s="716">
        <f t="shared" si="52"/>
        <v>0</v>
      </c>
      <c r="K567" s="717"/>
      <c r="N567" s="865" t="str">
        <f>'Set up ~ Config'!$AG61</f>
        <v>2290</v>
      </c>
      <c r="O567" s="12" t="str">
        <f t="shared" si="50"/>
        <v>2290 - Disponible ~ Available</v>
      </c>
    </row>
    <row r="568" spans="2:15" ht="15.75" x14ac:dyDescent="0.2">
      <c r="B568" s="80"/>
      <c r="E568" s="1494"/>
      <c r="F568" s="1494"/>
    </row>
    <row r="569" spans="2:15" ht="15.75" hidden="1" x14ac:dyDescent="0.2">
      <c r="B569" s="80"/>
      <c r="E569" s="1494"/>
      <c r="F569" s="1494"/>
    </row>
    <row r="570" spans="2:15" ht="15.75" hidden="1" x14ac:dyDescent="0.2">
      <c r="B570" s="80"/>
      <c r="E570" s="1494"/>
      <c r="F570" s="1494"/>
    </row>
    <row r="571" spans="2:15" hidden="1" x14ac:dyDescent="0.2">
      <c r="B571" s="80"/>
      <c r="E571" s="1333"/>
      <c r="F571" s="1333"/>
    </row>
    <row r="572" spans="2:15" hidden="1" x14ac:dyDescent="0.2">
      <c r="B572" s="80"/>
      <c r="E572" s="1333"/>
      <c r="F572" s="1333"/>
    </row>
    <row r="573" spans="2:15" hidden="1" x14ac:dyDescent="0.2">
      <c r="B573" s="80"/>
      <c r="E573" s="1333"/>
      <c r="F573" s="1333"/>
    </row>
    <row r="574" spans="2:15" hidden="1" x14ac:dyDescent="0.2">
      <c r="B574" s="80"/>
      <c r="E574" s="1333"/>
      <c r="F574" s="1333"/>
    </row>
    <row r="575" spans="2:15" hidden="1" x14ac:dyDescent="0.2"/>
    <row r="576" spans="2:15"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spans="2:5" hidden="1" x14ac:dyDescent="0.2"/>
    <row r="594" spans="2:5" ht="13.5" thickBot="1" x14ac:dyDescent="0.25"/>
    <row r="595" spans="2:5" x14ac:dyDescent="0.2">
      <c r="B595" s="770" t="s">
        <v>86</v>
      </c>
      <c r="C595" s="1492" t="s">
        <v>93</v>
      </c>
      <c r="D595" s="1492"/>
      <c r="E595" s="1493"/>
    </row>
    <row r="596" spans="2:5" x14ac:dyDescent="0.2">
      <c r="B596" s="771" t="s">
        <v>87</v>
      </c>
      <c r="C596" s="1490" t="s">
        <v>94</v>
      </c>
      <c r="D596" s="1490"/>
      <c r="E596" s="1491"/>
    </row>
    <row r="597" spans="2:5" x14ac:dyDescent="0.2">
      <c r="B597" s="771" t="s">
        <v>88</v>
      </c>
      <c r="C597" s="1490" t="s">
        <v>95</v>
      </c>
      <c r="D597" s="1490"/>
      <c r="E597" s="1491"/>
    </row>
    <row r="598" spans="2:5" x14ac:dyDescent="0.2">
      <c r="B598" s="771" t="s">
        <v>89</v>
      </c>
      <c r="C598" s="1490" t="s">
        <v>96</v>
      </c>
      <c r="D598" s="1490"/>
      <c r="E598" s="1491"/>
    </row>
    <row r="599" spans="2:5" x14ac:dyDescent="0.2">
      <c r="B599" s="771" t="s">
        <v>90</v>
      </c>
      <c r="C599" s="1490" t="s">
        <v>97</v>
      </c>
      <c r="D599" s="1490"/>
      <c r="E599" s="1491"/>
    </row>
    <row r="600" spans="2:5" x14ac:dyDescent="0.2">
      <c r="B600" s="771" t="s">
        <v>91</v>
      </c>
      <c r="C600" s="1490" t="s">
        <v>98</v>
      </c>
      <c r="D600" s="1490"/>
      <c r="E600" s="1491"/>
    </row>
    <row r="601" spans="2:5" ht="13.5" thickBot="1" x14ac:dyDescent="0.25">
      <c r="B601" s="772" t="s">
        <v>129</v>
      </c>
      <c r="C601" s="1495" t="s">
        <v>523</v>
      </c>
      <c r="D601" s="1495"/>
      <c r="E601" s="1496"/>
    </row>
  </sheetData>
  <sheetProtection algorithmName="SHA-512" hashValue="sE6Gnk1S51fz2bbybXyXwSkMb+hZ0bV+1GCwcwa1MOvVmyo0aYpfI4ahEcWV1xNddZvDFdHqelxY4ZxqcU0qiw==" saltValue="oldhYiDjW3jsoWWP07hss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 ref="E535:F535"/>
    <mergeCell ref="E549:F549"/>
    <mergeCell ref="C596:E596"/>
    <mergeCell ref="C597:E597"/>
    <mergeCell ref="E536:F536"/>
    <mergeCell ref="E537:F537"/>
    <mergeCell ref="E538:F538"/>
    <mergeCell ref="E539:F539"/>
    <mergeCell ref="E540:F540"/>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E524:F524"/>
    <mergeCell ref="E525:F525"/>
    <mergeCell ref="E526:F526"/>
    <mergeCell ref="E527:F527"/>
    <mergeCell ref="E528:F528"/>
    <mergeCell ref="E518:F518"/>
    <mergeCell ref="E520:F520"/>
    <mergeCell ref="H521:H522"/>
    <mergeCell ref="E522:F522"/>
    <mergeCell ref="E12:F12"/>
    <mergeCell ref="E13:F13"/>
    <mergeCell ref="E14:F14"/>
    <mergeCell ref="C516:F516"/>
    <mergeCell ref="C517:F517"/>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B1:J1"/>
    <mergeCell ref="B2:J2"/>
    <mergeCell ref="AD2:AL3"/>
    <mergeCell ref="AM2:AU3"/>
    <mergeCell ref="B3:J3"/>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4" priority="21">
      <formula>T$8="Disponible ~ Available"</formula>
    </cfRule>
  </conditionalFormatting>
  <conditionalFormatting sqref="AZ8:BD8 BG8:BH8 BJ8:BN8 AB8:AU8">
    <cfRule type="expression" dxfId="153" priority="25">
      <formula>AB8="Disponible ~ Available"</formula>
    </cfRule>
  </conditionalFormatting>
  <conditionalFormatting sqref="BE8:BF8">
    <cfRule type="expression" dxfId="152" priority="22">
      <formula>BE8="Available (Rename) Disponible (Renommez)"</formula>
    </cfRule>
  </conditionalFormatting>
  <dataValidations count="6">
    <dataValidation type="list" allowBlank="1" showInputMessage="1" showErrorMessage="1" sqref="B88:B515">
      <formula1>$B$5:$B$6</formula1>
      <formula2>0</formula2>
    </dataValidation>
    <dataValidation type="date" operator="greaterThan" allowBlank="1" showInputMessage="1" showErrorMessage="1" errorTitle="Error / Erreur !" error=" Wrong Date Format / Mauvais format de date" sqref="E88:E515">
      <formula1>42917</formula1>
      <formula2>0</formula2>
    </dataValidation>
    <dataValidation type="list" allowBlank="1" showInputMessage="1" showErrorMessage="1" sqref="C16:C515">
      <formula1>$B$595:$B$601</formula1>
    </dataValidation>
    <dataValidation type="date" operator="greaterThan" allowBlank="1" showInputMessage="1" showErrorMessage="1" errorTitle="Error / Erreur !" error=" Wrong Date Format / Mauvais format de date" sqref="E16:E87">
      <formula1>42917</formula1>
    </dataValidation>
    <dataValidation type="list" allowBlank="1" showInputMessage="1" showErrorMessage="1" sqref="B16:B87">
      <formula1>$B$5:$B$6</formula1>
    </dataValidation>
    <dataValidation type="list" allowBlank="1" showInputMessage="1" showErrorMessage="1" sqref="H16:H515">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D16" sqref="D16"/>
    </sheetView>
  </sheetViews>
  <sheetFormatPr defaultColWidth="11.42578125" defaultRowHeight="12.75" x14ac:dyDescent="0.2"/>
  <cols>
    <col min="1" max="1" width="3.7109375" style="26" customWidth="1"/>
    <col min="2" max="2" width="4.140625" style="19" customWidth="1"/>
    <col min="3" max="3" width="7" style="19" customWidth="1"/>
    <col min="4" max="4" width="14.140625" style="12" customWidth="1"/>
    <col min="5" max="5" width="14.85546875" style="19" customWidth="1"/>
    <col min="6" max="6" width="57.5703125" style="12" customWidth="1"/>
    <col min="7" max="7" width="17.5703125" style="12" customWidth="1"/>
    <col min="8" max="8" width="27.5703125" style="12" customWidth="1"/>
    <col min="9" max="9" width="18.140625" style="12" hidden="1" customWidth="1"/>
    <col min="10" max="10" width="15.5703125" style="12" customWidth="1"/>
    <col min="11" max="13" width="12.140625" style="12" customWidth="1"/>
    <col min="14" max="14" width="18.140625" style="12" hidden="1" customWidth="1"/>
    <col min="15" max="15" width="22.85546875" style="12" hidden="1" customWidth="1"/>
    <col min="16" max="16" width="13" style="12" customWidth="1"/>
    <col min="17" max="117" width="13.7109375" style="12" customWidth="1"/>
    <col min="118" max="118" width="10.28515625" style="12" hidden="1" customWidth="1"/>
    <col min="119" max="119" width="16.42578125" style="1" customWidth="1"/>
    <col min="120" max="120" width="6.85546875" style="1" hidden="1" customWidth="1"/>
    <col min="121" max="121" width="25.7109375" style="1" customWidth="1"/>
    <col min="122" max="122" width="28.5703125" style="1" customWidth="1"/>
    <col min="123" max="321" width="9.140625" style="1" customWidth="1"/>
    <col min="322" max="1047" width="11.42578125" style="1"/>
  </cols>
  <sheetData>
    <row r="1" spans="1:127" ht="33.75" customHeight="1" x14ac:dyDescent="0.4">
      <c r="B1" s="1337" t="str">
        <f>IF(D4=2, "Journal des dépenses","Expenses Journal")</f>
        <v>Expenses Journal</v>
      </c>
      <c r="C1" s="1337"/>
      <c r="D1" s="1337"/>
      <c r="E1" s="1337"/>
      <c r="F1" s="1337"/>
      <c r="G1" s="1337"/>
      <c r="H1" s="1337"/>
      <c r="I1" s="1337"/>
      <c r="J1" s="1337"/>
      <c r="K1" s="600"/>
      <c r="L1" s="600"/>
      <c r="M1" s="600"/>
      <c r="N1" s="600"/>
      <c r="O1" s="600"/>
      <c r="P1" s="600"/>
      <c r="Q1" s="21">
        <v>1</v>
      </c>
      <c r="T1" s="21"/>
      <c r="U1" s="21">
        <v>1</v>
      </c>
    </row>
    <row r="2" spans="1:127" ht="33.75" customHeight="1" x14ac:dyDescent="0.2">
      <c r="B2" s="1497" t="str">
        <f>'Set up ~ Config'!B2:J2</f>
        <v xml:space="preserve">SSC </v>
      </c>
      <c r="C2" s="1497"/>
      <c r="D2" s="1497"/>
      <c r="E2" s="1497"/>
      <c r="F2" s="1497"/>
      <c r="G2" s="1497"/>
      <c r="H2" s="1497"/>
      <c r="I2" s="1497"/>
      <c r="J2" s="1497"/>
      <c r="K2" s="601"/>
      <c r="L2" s="601"/>
      <c r="M2" s="601"/>
      <c r="N2" s="601"/>
      <c r="O2" s="601"/>
      <c r="P2" s="610"/>
      <c r="DN2" s="20" t="s">
        <v>38</v>
      </c>
      <c r="DP2" s="20" t="s">
        <v>38</v>
      </c>
    </row>
    <row r="3" spans="1:127" ht="27.75" customHeight="1" thickBot="1" x14ac:dyDescent="0.25">
      <c r="B3" s="1470" t="str">
        <f>'Jrnl Rev'!B3:J3</f>
        <v>For the period from 2024-09-01 to 2025-08-31</v>
      </c>
      <c r="C3" s="1470"/>
      <c r="D3" s="1470"/>
      <c r="E3" s="1470"/>
      <c r="F3" s="1470"/>
      <c r="G3" s="1470"/>
      <c r="H3" s="1470"/>
      <c r="I3" s="1470"/>
      <c r="J3" s="1470"/>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25">
      <c r="B4" s="616">
        <f>'ACC9 (Page 7-8) Bal Sh~Bilan'!Q80</f>
        <v>0</v>
      </c>
      <c r="C4" s="616"/>
      <c r="D4" s="21">
        <f>'Set up ~ Config'!L10</f>
        <v>1</v>
      </c>
      <c r="E4" s="617"/>
      <c r="F4" s="1472"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618"/>
      <c r="I4" s="618"/>
      <c r="J4" s="618"/>
      <c r="K4" s="618"/>
      <c r="P4" s="1475">
        <v>5000</v>
      </c>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501">
        <v>5300</v>
      </c>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3"/>
      <c r="BM4" s="1501">
        <v>5400</v>
      </c>
      <c r="BN4" s="1502"/>
      <c r="BO4" s="1502"/>
      <c r="BP4" s="1502"/>
      <c r="BQ4" s="1502"/>
      <c r="BR4" s="1502"/>
      <c r="BS4" s="1502"/>
      <c r="BT4" s="1502"/>
      <c r="BU4" s="1502"/>
      <c r="BV4" s="1503"/>
      <c r="BW4" s="1501">
        <v>5500</v>
      </c>
      <c r="BX4" s="1502"/>
      <c r="BY4" s="1502"/>
      <c r="BZ4" s="1502"/>
      <c r="CA4" s="1502"/>
      <c r="CB4" s="1502"/>
      <c r="CC4" s="1502"/>
      <c r="CD4" s="1502"/>
      <c r="CE4" s="1502"/>
      <c r="CF4" s="1502"/>
      <c r="CG4" s="1502"/>
      <c r="CH4" s="1502"/>
      <c r="CI4" s="1502"/>
      <c r="CJ4" s="1502"/>
      <c r="CK4" s="1502"/>
      <c r="CL4" s="1503"/>
      <c r="CM4" s="1475">
        <v>5600</v>
      </c>
      <c r="CN4" s="1475"/>
      <c r="CO4" s="1475"/>
      <c r="CP4" s="1475"/>
      <c r="CQ4" s="1475"/>
      <c r="CR4" s="1475"/>
      <c r="CS4" s="1475"/>
      <c r="CT4" s="1475"/>
      <c r="CU4" s="1475"/>
      <c r="CV4" s="1475">
        <v>5700</v>
      </c>
      <c r="CW4" s="1475"/>
      <c r="CX4" s="1475"/>
      <c r="CY4" s="1475"/>
      <c r="CZ4" s="1475"/>
      <c r="DA4" s="1475"/>
      <c r="DB4" s="1475"/>
      <c r="DC4" s="1475"/>
      <c r="DD4" s="1475"/>
      <c r="DE4" s="1475">
        <v>5800</v>
      </c>
      <c r="DF4" s="1475"/>
      <c r="DG4" s="1475"/>
      <c r="DH4" s="1475"/>
      <c r="DI4" s="1475"/>
      <c r="DJ4" s="1475"/>
      <c r="DK4" s="1475"/>
      <c r="DL4" s="1475"/>
      <c r="DM4" s="619"/>
      <c r="DN4" s="1"/>
    </row>
    <row r="5" spans="1:127" ht="37.5" customHeight="1" thickTop="1" thickBot="1" x14ac:dyDescent="0.3">
      <c r="D5" s="620"/>
      <c r="E5" s="621"/>
      <c r="F5" s="1472"/>
      <c r="G5" s="1474"/>
      <c r="H5" s="18"/>
      <c r="I5" s="18"/>
      <c r="J5" s="18"/>
      <c r="K5" s="1480" t="str">
        <f>IF(D4=2,"Si des taxes sont payés, inscrivez-les ici.","If taxes are paid, enter them here.")</f>
        <v>If taxes are paid, enter them here.</v>
      </c>
      <c r="L5" s="1480"/>
      <c r="M5" s="1480"/>
      <c r="N5" s="18"/>
      <c r="O5" s="18"/>
      <c r="P5" s="1476" t="str">
        <f>IF(D4=2,"Frais administratifs et d'exploitation","Administrative &amp; Operating Expenses")</f>
        <v>Administrative &amp; Operating Expenses</v>
      </c>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98" t="str">
        <f>IF(D4=2,"Déboursés - Formation/Activités obligatoires appuyées par MDN","DND Supported Mandatory Trg/Activities Expenses")</f>
        <v>DND Supported Mandatory Trg/Activities Expenses</v>
      </c>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500"/>
      <c r="BM5" s="1498" t="str">
        <f>IF(D4=2,"Déboursés - Formation/Activités optionnelles appuyées par MDN","DND Supported Optional Trg/Activities Expenses")</f>
        <v>DND Supported Optional Trg/Activities Expenses</v>
      </c>
      <c r="BN5" s="1499"/>
      <c r="BO5" s="1499"/>
      <c r="BP5" s="1499"/>
      <c r="BQ5" s="1499"/>
      <c r="BR5" s="1499"/>
      <c r="BS5" s="1499"/>
      <c r="BT5" s="1499"/>
      <c r="BU5" s="1499"/>
      <c r="BV5" s="1500"/>
      <c r="BW5" s="1498" t="str">
        <f>IF(D4=2,"Déboursés - Formation/Activités non-appuyées par MDN","DND Non-Supported Trg/Activities Expenses")</f>
        <v>DND Non-Supported Trg/Activities Expenses</v>
      </c>
      <c r="BX5" s="1499"/>
      <c r="BY5" s="1499"/>
      <c r="BZ5" s="1499"/>
      <c r="CA5" s="1499"/>
      <c r="CB5" s="1499"/>
      <c r="CC5" s="1499"/>
      <c r="CD5" s="1499"/>
      <c r="CE5" s="1499"/>
      <c r="CF5" s="1499"/>
      <c r="CG5" s="1499"/>
      <c r="CH5" s="1499"/>
      <c r="CI5" s="1499"/>
      <c r="CJ5" s="1499"/>
      <c r="CK5" s="1499"/>
      <c r="CL5" s="1500"/>
      <c r="CM5" s="1476" t="str">
        <f>IF(D4=2,"Déboursés - Levées de fonds-Jeux et loteries","Expenses - Gaming &amp; Lotteries Fundraising")</f>
        <v>Expenses - Gaming &amp; Lotteries Fundraising</v>
      </c>
      <c r="CN5" s="1476"/>
      <c r="CO5" s="1476"/>
      <c r="CP5" s="1476"/>
      <c r="CQ5" s="1476"/>
      <c r="CR5" s="1476"/>
      <c r="CS5" s="1476"/>
      <c r="CT5" s="1476"/>
      <c r="CU5" s="1476"/>
      <c r="CV5" s="1476" t="str">
        <f>IF(D4=2,"Déboursés - Autres levées de fonds","Expenses - Other Fundraising")</f>
        <v>Expenses - Other Fundraising</v>
      </c>
      <c r="CW5" s="1476"/>
      <c r="CX5" s="1476"/>
      <c r="CY5" s="1476"/>
      <c r="CZ5" s="1476"/>
      <c r="DA5" s="1476"/>
      <c r="DB5" s="1476"/>
      <c r="DC5" s="1476"/>
      <c r="DD5" s="1476"/>
      <c r="DE5" s="1476" t="str">
        <f>IF(D4=2,"Autres déboursés","Other Expenses")</f>
        <v>Other Expenses</v>
      </c>
      <c r="DF5" s="1476"/>
      <c r="DG5" s="1476"/>
      <c r="DH5" s="1476"/>
      <c r="DI5" s="1476"/>
      <c r="DJ5" s="1476"/>
      <c r="DK5" s="1476"/>
      <c r="DL5" s="1476"/>
      <c r="DN5" s="1"/>
      <c r="DR5" s="21"/>
    </row>
    <row r="6" spans="1:127" ht="18.75" customHeight="1" thickTop="1" thickBot="1" x14ac:dyDescent="0.3">
      <c r="B6" s="622" t="s">
        <v>40</v>
      </c>
      <c r="C6" s="622"/>
      <c r="D6" s="620"/>
      <c r="E6" s="621"/>
      <c r="F6" s="1472"/>
      <c r="G6" s="1474"/>
      <c r="H6" s="20"/>
      <c r="I6" s="20"/>
      <c r="J6" s="20"/>
      <c r="K6" s="1480"/>
      <c r="L6" s="1480"/>
      <c r="M6" s="1480"/>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3">
      <c r="D7" s="620"/>
      <c r="E7" s="635"/>
      <c r="F7" s="1472"/>
      <c r="G7" s="1474"/>
      <c r="H7" s="20"/>
      <c r="I7" s="20"/>
      <c r="J7" s="20"/>
      <c r="K7" s="1481"/>
      <c r="L7" s="1481"/>
      <c r="M7" s="1481"/>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25">
      <c r="B8" s="982" t="str">
        <f>IF(D4=2,"Réconcilié","Reconciled")</f>
        <v>Reconciled</v>
      </c>
      <c r="C8" s="983" t="str">
        <f>IF(D4=2,"Type Transaction","Transactions Type")</f>
        <v>Transactions Type</v>
      </c>
      <c r="D8" s="984" t="str">
        <f>IF(D4=2,"# de réf","Ref #")</f>
        <v>Ref #</v>
      </c>
      <c r="E8" s="984" t="str">
        <f>IF(D4=2,"Date
(aaaa-mm-jj)","Date
(yyyy-mm-dd)")</f>
        <v>Date
(yyyy-mm-dd)</v>
      </c>
      <c r="F8" s="985" t="str">
        <f>IF(D4=2,"Détails
Pour identifier un chèque annulé, inscrivez ''Chèque annulé''","Details
For identify a void cheque, write ''Void Cheque''")</f>
        <v>Details
For identify a void cheque, write ''Void Cheque''</v>
      </c>
      <c r="G8" s="986" t="str">
        <f>IF(D4=2,"Montants des déboursés","Amount of Disbursements")</f>
        <v>Amount of Disbursements</v>
      </c>
      <c r="H8" s="987" t="str">
        <f>IF(D4=2,"Compte","Account")</f>
        <v>Account</v>
      </c>
      <c r="I8" s="988" t="str">
        <f>IF(D4=2,"No. Compte","Account #")</f>
        <v>Account #</v>
      </c>
      <c r="J8" s="989" t="str">
        <f>IF(D4=2,"PREUVE DE RÉPARTITION dans les catégories - doit être 0$.","PROOF OF CATEGORY ALLOCATION - must be $0")</f>
        <v>PROOF OF CATEGORY ALLOCATION - must be $0</v>
      </c>
      <c r="K8" s="983" t="str">
        <f>IF(D4=2,"TVH","HST")</f>
        <v>HST</v>
      </c>
      <c r="L8" s="983" t="str">
        <f>IF(D4=2,"TPS","GST")</f>
        <v>GST</v>
      </c>
      <c r="M8" s="983" t="str">
        <f>IF(D4=2,"TVP/TVQ","PST/QST")</f>
        <v>PST/QST</v>
      </c>
      <c r="N8" s="990"/>
      <c r="O8" s="990" t="str">
        <f>IF(D4=2,"Remboursement par trimestre","Quarters Rebate")</f>
        <v>Quarters Rebate</v>
      </c>
      <c r="P8" s="991" t="str">
        <f>IF(D4=2,"Admin. et fournitures de bureau","Admin. &amp; Office supplies")</f>
        <v>Admin. &amp; Office supplies</v>
      </c>
      <c r="Q8" s="992" t="str">
        <f>IF(D4=2,"Équipement de bureau","Office Equipment")</f>
        <v>Office Equipment</v>
      </c>
      <c r="R8" s="992" t="str">
        <f>IF(D4=2,"Location locaux de l'esc.","Sqn Quarters Rental")</f>
        <v>Sqn Quarters Rental</v>
      </c>
      <c r="S8" s="992" t="str">
        <f>IF(D4=2,"Locaux d'esc. - Frais d'entretien, réparations, expansion, etc.","Maintenance, repairs, expansion")</f>
        <v>Maintenance, repairs, expansion</v>
      </c>
      <c r="T8" s="992" t="str">
        <f>IF(D4=2,"Électricité/Chauffage/Tél./Internet/Location de C.P.","Utilities,PO Box")</f>
        <v>Utilities,PO Box</v>
      </c>
      <c r="U8" s="992" t="str">
        <f>IF(D4=2,"Frais de réunions","Meeting costs")</f>
        <v>Meeting costs</v>
      </c>
      <c r="V8" s="992" t="str">
        <f>IF(D4=2,"Accoutrements Comité/Personnel","Committee staff Accoutrement and such")</f>
        <v>Committee staff Accoutrement and such</v>
      </c>
      <c r="W8" s="992" t="str">
        <f>IF(D4=2,"Publicité &amp; Recrutement","Advertising &amp; Recruiting")</f>
        <v>Advertising &amp; Recruiting</v>
      </c>
      <c r="X8" s="992" t="str">
        <f>IF(D4=2,"Contribution annuelle au Comité Provincial (CP)","Annual Provincial Committee Assessment")</f>
        <v>Annual Provincial Committee Assessment</v>
      </c>
      <c r="Y8" s="992" t="str">
        <f>IF(D4=2,"Frais de cotisation de Groupe, d'Escadre","Air Group, Air Wing Dues and such")</f>
        <v>Air Group, Air Wing Dues and such</v>
      </c>
      <c r="Z8" s="992" t="str">
        <f>IF(D4=2,"Frais bancaires et financiers","Financial &amp; Bank Charges")</f>
        <v>Financial &amp; Bank Charges</v>
      </c>
      <c r="AA8" s="992" t="str">
        <f>IF(D4=2,"Services professionnels","Professional Services")</f>
        <v>Professional Services</v>
      </c>
      <c r="AB8" s="992" t="str">
        <f>IF(D4=2,"Salaires des employés","Compensation for employees")</f>
        <v>Compensation for employees</v>
      </c>
      <c r="AC8" s="992" t="str">
        <f>IF(D4=2,"Assurances du matériel et des propriétés","Insurance for material and properties")</f>
        <v>Insurance for material and properties</v>
      </c>
      <c r="AD8" s="992" t="str">
        <f>IF(D4=2,"Frais de déplacement","Travel Expenses")</f>
        <v>Travel Expenses</v>
      </c>
      <c r="AE8" s="992" t="str">
        <f>IF(D4=2,"Frais de poste/Expédition","Postage/Shipping Costs")</f>
        <v>Postage/Shipping Costs</v>
      </c>
      <c r="AF8" s="992" t="str">
        <f>IF(D4=2,"Location de locaux autres que 5030","Facility Rental others than 5030")</f>
        <v>Facility Rental others than 5030</v>
      </c>
      <c r="AG8" s="854" t="s">
        <v>580</v>
      </c>
      <c r="AH8" s="854" t="s">
        <v>540</v>
      </c>
      <c r="AI8" s="854" t="s">
        <v>540</v>
      </c>
      <c r="AJ8" s="854" t="s">
        <v>540</v>
      </c>
      <c r="AK8" s="854" t="s">
        <v>540</v>
      </c>
      <c r="AL8" s="854" t="s">
        <v>540</v>
      </c>
      <c r="AM8" s="854" t="s">
        <v>540</v>
      </c>
      <c r="AN8" s="854" t="s">
        <v>540</v>
      </c>
      <c r="AO8" s="854" t="s">
        <v>540</v>
      </c>
      <c r="AP8" s="993" t="str">
        <f>IF(D4=2,"Formation en campagne/de terrain","Field Trg Ex (FTX)")</f>
        <v>Field Trg Ex (FTX)</v>
      </c>
      <c r="AQ8" s="855" t="s">
        <v>568</v>
      </c>
      <c r="AR8" s="855" t="s">
        <v>569</v>
      </c>
      <c r="AS8" s="855" t="s">
        <v>570</v>
      </c>
      <c r="AT8" s="856" t="s">
        <v>540</v>
      </c>
      <c r="AU8" s="994" t="str">
        <f>IF(D4=2,"Autres Formations","Other training")</f>
        <v>Other training</v>
      </c>
      <c r="AV8" s="855" t="s">
        <v>540</v>
      </c>
      <c r="AW8" s="855" t="s">
        <v>540</v>
      </c>
      <c r="AX8" s="855" t="s">
        <v>540</v>
      </c>
      <c r="AY8" s="856" t="s">
        <v>540</v>
      </c>
      <c r="AZ8" s="995" t="str">
        <f>IF(D4=2,"Équipement d'entraînement","Training Equipment")</f>
        <v>Training Equipment</v>
      </c>
      <c r="BA8" s="992" t="str">
        <f>IF(D4=2,"Activités sportives et d'éd. Physique","Sports &amp; Phys Ed Related Activities")</f>
        <v>Sports &amp; Phys Ed Related Activities</v>
      </c>
      <c r="BB8" s="992" t="str">
        <f>IF(D4=2,"Débours pour pgm de vol: motorisé et à voile","Flying and Gliding related outlays")</f>
        <v>Flying and Gliding related outlays</v>
      </c>
      <c r="BC8" s="992" t="str">
        <f>IF(D4=2,"Service communautaire","Community Service")</f>
        <v>Community Service</v>
      </c>
      <c r="BD8" s="992" t="str">
        <f>IF(D4=2,"Programme de tir","Shooting Pgm")</f>
        <v>Shooting Pgm</v>
      </c>
      <c r="BE8" s="992" t="str">
        <f>IF(D4=2,"Journée d'aviation","Aviation Day")</f>
        <v>Aviation Day</v>
      </c>
      <c r="BF8" s="992" t="str">
        <f>IF(D4=2,"Diner régimentaire","Mess Dinner")</f>
        <v>Mess Dinner</v>
      </c>
      <c r="BG8" s="992" t="str">
        <f>IF(D4=2,"Formation au sol","Ground School")</f>
        <v>Ground School</v>
      </c>
      <c r="BH8" s="854" t="s">
        <v>540</v>
      </c>
      <c r="BI8" s="854" t="s">
        <v>540</v>
      </c>
      <c r="BJ8" s="854" t="s">
        <v>540</v>
      </c>
      <c r="BK8" s="854" t="s">
        <v>540</v>
      </c>
      <c r="BL8" s="854" t="s">
        <v>540</v>
      </c>
      <c r="BM8" s="996" t="str">
        <f>IF(D4=2,"Fanfare","Band")</f>
        <v>Band</v>
      </c>
      <c r="BN8" s="997" t="str">
        <f>IF(D4=2,"Équipe - Exercice élémentaire","Drill Team")</f>
        <v>Drill Team</v>
      </c>
      <c r="BO8" s="997" t="str">
        <f>IF(D4=2,"Équipe de tir","Marksmanship")</f>
        <v>Marksmanship</v>
      </c>
      <c r="BP8" s="997" t="s">
        <v>478</v>
      </c>
      <c r="BQ8" s="997" t="str">
        <f>IF(D4=2,"Art oratoire","Effective Speaking")</f>
        <v>Effective Speaking</v>
      </c>
      <c r="BR8" s="854" t="s">
        <v>540</v>
      </c>
      <c r="BS8" s="854" t="s">
        <v>540</v>
      </c>
      <c r="BT8" s="854" t="s">
        <v>540</v>
      </c>
      <c r="BU8" s="854" t="s">
        <v>540</v>
      </c>
      <c r="BV8" s="854" t="s">
        <v>540</v>
      </c>
      <c r="BW8" s="998" t="str">
        <f>IF(D4=2,"Banquets pour cadets et autres activités spéciales","Cadet Banquets and Special Events")</f>
        <v>Cadet Banquets and Special Events</v>
      </c>
      <c r="BX8" s="855" t="s">
        <v>581</v>
      </c>
      <c r="BY8" s="855" t="s">
        <v>540</v>
      </c>
      <c r="BZ8" s="855" t="s">
        <v>540</v>
      </c>
      <c r="CA8" s="855" t="s">
        <v>540</v>
      </c>
      <c r="CB8" s="855" t="s">
        <v>540</v>
      </c>
      <c r="CC8" s="855" t="s">
        <v>540</v>
      </c>
      <c r="CD8" s="863" t="s">
        <v>540</v>
      </c>
      <c r="CE8" s="999" t="str">
        <f>IF(D4=2,"Cérémonial annuel","Annual Ceremonial Review")</f>
        <v>Annual Ceremonial Review</v>
      </c>
      <c r="CF8" s="997" t="str">
        <f>IF(D4=2,"Honneurs &amp; Récompenses","Honours &amp; Award")</f>
        <v>Honours &amp; Award</v>
      </c>
      <c r="CG8" s="997" t="str">
        <f>IF(D4=2,"Accoutrements pour cadet et cérémoniaux","Cadet &amp; Ceremonial Accoutrements")</f>
        <v>Cadet &amp; Ceremonial Accoutrements</v>
      </c>
      <c r="CH8" s="997" t="str">
        <f>IF(D4=2,"Bourses d'études et autres","Scholarship &amp; Bursaries")</f>
        <v>Scholarship &amp; Bursaries</v>
      </c>
      <c r="CI8" s="854" t="s">
        <v>540</v>
      </c>
      <c r="CJ8" s="854" t="s">
        <v>540</v>
      </c>
      <c r="CK8" s="854" t="s">
        <v>540</v>
      </c>
      <c r="CL8" s="854" t="s">
        <v>540</v>
      </c>
      <c r="CM8" s="854" t="s">
        <v>578</v>
      </c>
      <c r="CN8" s="854" t="s">
        <v>540</v>
      </c>
      <c r="CO8" s="854" t="s">
        <v>540</v>
      </c>
      <c r="CP8" s="854" t="s">
        <v>540</v>
      </c>
      <c r="CQ8" s="854" t="s">
        <v>540</v>
      </c>
      <c r="CR8" s="854" t="s">
        <v>540</v>
      </c>
      <c r="CS8" s="854" t="s">
        <v>540</v>
      </c>
      <c r="CT8" s="854" t="s">
        <v>540</v>
      </c>
      <c r="CU8" s="857" t="s">
        <v>540</v>
      </c>
      <c r="CV8" s="858" t="s">
        <v>573</v>
      </c>
      <c r="CW8" s="854" t="s">
        <v>574</v>
      </c>
      <c r="CX8" s="854" t="s">
        <v>575</v>
      </c>
      <c r="CY8" s="854" t="s">
        <v>540</v>
      </c>
      <c r="CZ8" s="854" t="s">
        <v>540</v>
      </c>
      <c r="DA8" s="854" t="s">
        <v>540</v>
      </c>
      <c r="DB8" s="854" t="s">
        <v>540</v>
      </c>
      <c r="DC8" s="854" t="s">
        <v>540</v>
      </c>
      <c r="DD8" s="854" t="s">
        <v>540</v>
      </c>
      <c r="DE8" s="991" t="str">
        <f>IF(D4=2,"Dons à d'autres org de charité","Donations to other Qualified Donnees")</f>
        <v>Donations to other Qualified Donnees</v>
      </c>
      <c r="DF8" s="997" t="str">
        <f>IF(D4=2,"Mauvaises créances","Bad Debts")</f>
        <v>Bad Debts</v>
      </c>
      <c r="DG8" s="997" t="str">
        <f>IF(D4=2,"Pertes en capital","Capital Losses")</f>
        <v>Capital Losses</v>
      </c>
      <c r="DH8" s="997" t="str">
        <f>IF(D4=2,"Vêtements et fournitures avec logo de l'escadron","Purchase of Sqn Logo Items")</f>
        <v>Purchase of Sqn Logo Items</v>
      </c>
      <c r="DI8" s="997" t="str">
        <f>IF(D4=2,"Achats pour cantine","Purchase for Canteen")</f>
        <v>Purchase for Canteen</v>
      </c>
      <c r="DJ8" s="992" t="str">
        <f>IF(D4=2,"Dépenses années antérieures","Expenses from previous years")</f>
        <v>Expenses from previous years</v>
      </c>
      <c r="DK8" s="854" t="s">
        <v>540</v>
      </c>
      <c r="DL8" s="1000" t="str">
        <f>IF(D4=2,"Autres dépenses (montant doit être raisonnable)","Other Expenses (Must not be Excessive)")</f>
        <v>Other Expenses (Must not be Excessive)</v>
      </c>
      <c r="DM8" s="1001" t="str">
        <f>IF(D4=2,"Transferts de compte à compte ou ajustements","Transfers between accounts or Adjustments")</f>
        <v>Transfers between accounts or Adjustments</v>
      </c>
      <c r="DN8" s="1"/>
      <c r="DO8" s="605"/>
      <c r="DR8" s="21"/>
    </row>
    <row r="9" spans="1:127" s="2" customFormat="1" ht="15.75" hidden="1" customHeight="1" thickTop="1" x14ac:dyDescent="0.2">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2">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2">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2">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2">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2">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25">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25">
      <c r="A16" s="676">
        <f>$A8+1</f>
        <v>1</v>
      </c>
      <c r="B16" s="1051"/>
      <c r="C16" s="1051"/>
      <c r="D16" s="885"/>
      <c r="E16" s="955"/>
      <c r="F16" s="886"/>
      <c r="G16" s="887"/>
      <c r="H16" s="1056"/>
      <c r="I16" s="677" t="str">
        <f t="shared" ref="I16:I79" si="0">LEFT(H16,4)</f>
        <v/>
      </c>
      <c r="J16" s="678">
        <f t="shared" ref="J16:J79" si="1">G16-DN16</f>
        <v>0</v>
      </c>
      <c r="K16" s="1249"/>
      <c r="L16" s="1258"/>
      <c r="M16" s="1258"/>
      <c r="N16" s="719"/>
      <c r="O16" s="720"/>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25">
      <c r="A17" s="676">
        <f t="shared" ref="A17:A80" si="3">$A16+1</f>
        <v>2</v>
      </c>
      <c r="B17" s="1052"/>
      <c r="C17" s="1052"/>
      <c r="D17" s="888"/>
      <c r="E17" s="953"/>
      <c r="F17" s="884"/>
      <c r="G17" s="889"/>
      <c r="H17" s="1057"/>
      <c r="I17" s="684" t="str">
        <f t="shared" si="0"/>
        <v/>
      </c>
      <c r="J17" s="685">
        <f t="shared" si="1"/>
        <v>0</v>
      </c>
      <c r="K17" s="1251"/>
      <c r="L17" s="1253"/>
      <c r="M17" s="1259"/>
      <c r="N17" s="719"/>
      <c r="O17" s="720"/>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4">SUM(AQ17:AT17)</f>
        <v>0</v>
      </c>
      <c r="AQ17" s="42"/>
      <c r="AR17" s="42"/>
      <c r="AS17" s="42"/>
      <c r="AT17" s="43"/>
      <c r="AU17" s="687">
        <f t="shared" ref="AU17:AU80" si="5">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6">SUM(P17:AP17,AU17,AZ17:BW17,CE17:DM17)</f>
        <v>0</v>
      </c>
      <c r="DO17" s="683"/>
      <c r="DP17" s="91" t="s">
        <v>87</v>
      </c>
      <c r="DQ17" s="91"/>
      <c r="DR17" s="92"/>
      <c r="DS17" s="92"/>
      <c r="DT17" s="92"/>
      <c r="DU17" s="92"/>
      <c r="DV17" s="92"/>
      <c r="DW17" s="92"/>
    </row>
    <row r="18" spans="1:127" ht="25.5" customHeight="1" thickTop="1" thickBot="1" x14ac:dyDescent="0.25">
      <c r="A18" s="676">
        <f t="shared" si="3"/>
        <v>3</v>
      </c>
      <c r="B18" s="1052"/>
      <c r="C18" s="1052"/>
      <c r="D18" s="888"/>
      <c r="E18" s="953"/>
      <c r="F18" s="884"/>
      <c r="G18" s="889"/>
      <c r="H18" s="1057"/>
      <c r="I18" s="684" t="str">
        <f t="shared" si="0"/>
        <v/>
      </c>
      <c r="J18" s="685">
        <f t="shared" si="1"/>
        <v>0</v>
      </c>
      <c r="K18" s="1251"/>
      <c r="L18" s="1253"/>
      <c r="M18" s="1259"/>
      <c r="N18" s="719"/>
      <c r="O18" s="720"/>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4"/>
        <v>0</v>
      </c>
      <c r="AQ18" s="42"/>
      <c r="AR18" s="42"/>
      <c r="AS18" s="42"/>
      <c r="AT18" s="43"/>
      <c r="AU18" s="687">
        <f t="shared" si="5"/>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6"/>
        <v>0</v>
      </c>
      <c r="DO18" s="683"/>
      <c r="DP18" s="91" t="s">
        <v>88</v>
      </c>
      <c r="DQ18" s="91"/>
      <c r="DR18" s="92"/>
      <c r="DS18" s="92"/>
      <c r="DT18" s="92"/>
      <c r="DU18" s="92"/>
      <c r="DV18" s="92"/>
      <c r="DW18" s="92"/>
    </row>
    <row r="19" spans="1:127" ht="25.5" customHeight="1" thickTop="1" thickBot="1" x14ac:dyDescent="0.25">
      <c r="A19" s="676">
        <f t="shared" si="3"/>
        <v>4</v>
      </c>
      <c r="B19" s="1052"/>
      <c r="C19" s="1052"/>
      <c r="D19" s="888"/>
      <c r="E19" s="953"/>
      <c r="F19" s="884"/>
      <c r="G19" s="889"/>
      <c r="H19" s="1057"/>
      <c r="I19" s="684" t="str">
        <f t="shared" si="0"/>
        <v/>
      </c>
      <c r="J19" s="685">
        <f t="shared" si="1"/>
        <v>0</v>
      </c>
      <c r="K19" s="1251"/>
      <c r="L19" s="1253"/>
      <c r="M19" s="1259"/>
      <c r="N19" s="719"/>
      <c r="O19" s="720"/>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4"/>
        <v>0</v>
      </c>
      <c r="AQ19" s="42"/>
      <c r="AR19" s="42"/>
      <c r="AS19" s="42"/>
      <c r="AT19" s="43"/>
      <c r="AU19" s="687">
        <f t="shared" si="5"/>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6"/>
        <v>0</v>
      </c>
      <c r="DO19" s="683"/>
      <c r="DP19" s="12" t="s">
        <v>89</v>
      </c>
      <c r="DQ19" s="12"/>
      <c r="DR19" s="92"/>
    </row>
    <row r="20" spans="1:127" ht="25.5" customHeight="1" thickTop="1" thickBot="1" x14ac:dyDescent="0.25">
      <c r="A20" s="676">
        <f t="shared" si="3"/>
        <v>5</v>
      </c>
      <c r="B20" s="1052"/>
      <c r="C20" s="1052"/>
      <c r="D20" s="888"/>
      <c r="E20" s="953"/>
      <c r="F20" s="884"/>
      <c r="G20" s="889"/>
      <c r="H20" s="1057"/>
      <c r="I20" s="684" t="str">
        <f t="shared" si="0"/>
        <v/>
      </c>
      <c r="J20" s="685">
        <f t="shared" si="1"/>
        <v>0</v>
      </c>
      <c r="K20" s="1251"/>
      <c r="L20" s="1253"/>
      <c r="M20" s="1259"/>
      <c r="N20" s="719"/>
      <c r="O20" s="720"/>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4"/>
        <v>0</v>
      </c>
      <c r="AQ20" s="42"/>
      <c r="AR20" s="42"/>
      <c r="AS20" s="42"/>
      <c r="AT20" s="43"/>
      <c r="AU20" s="687">
        <f t="shared" si="5"/>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6"/>
        <v>0</v>
      </c>
      <c r="DO20" s="683"/>
      <c r="DP20" s="12" t="s">
        <v>90</v>
      </c>
      <c r="DQ20" s="12"/>
      <c r="DR20" s="92"/>
    </row>
    <row r="21" spans="1:127" ht="25.5" customHeight="1" thickTop="1" thickBot="1" x14ac:dyDescent="0.25">
      <c r="A21" s="676">
        <f t="shared" si="3"/>
        <v>6</v>
      </c>
      <c r="B21" s="1052"/>
      <c r="C21" s="1052"/>
      <c r="D21" s="888"/>
      <c r="E21" s="953"/>
      <c r="F21" s="884"/>
      <c r="G21" s="889"/>
      <c r="H21" s="1057"/>
      <c r="I21" s="684" t="str">
        <f t="shared" si="0"/>
        <v/>
      </c>
      <c r="J21" s="685">
        <f t="shared" si="1"/>
        <v>0</v>
      </c>
      <c r="K21" s="1251"/>
      <c r="L21" s="1253"/>
      <c r="M21" s="1259"/>
      <c r="N21" s="719"/>
      <c r="O21" s="720"/>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4"/>
        <v>0</v>
      </c>
      <c r="AQ21" s="42"/>
      <c r="AR21" s="42"/>
      <c r="AS21" s="42"/>
      <c r="AT21" s="43"/>
      <c r="AU21" s="687">
        <f t="shared" si="5"/>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6"/>
        <v>0</v>
      </c>
      <c r="DO21" s="683"/>
      <c r="DP21" s="12" t="s">
        <v>91</v>
      </c>
      <c r="DQ21" s="12"/>
      <c r="DR21" s="92"/>
    </row>
    <row r="22" spans="1:127" ht="25.5" customHeight="1" thickTop="1" thickBot="1" x14ac:dyDescent="0.25">
      <c r="A22" s="676">
        <f t="shared" si="3"/>
        <v>7</v>
      </c>
      <c r="B22" s="1052"/>
      <c r="C22" s="1052"/>
      <c r="D22" s="888"/>
      <c r="E22" s="953"/>
      <c r="F22" s="884"/>
      <c r="G22" s="889"/>
      <c r="H22" s="1057"/>
      <c r="I22" s="684" t="str">
        <f t="shared" si="0"/>
        <v/>
      </c>
      <c r="J22" s="685">
        <f t="shared" si="1"/>
        <v>0</v>
      </c>
      <c r="K22" s="1251"/>
      <c r="L22" s="1253"/>
      <c r="M22" s="1259"/>
      <c r="N22" s="719"/>
      <c r="O22" s="720"/>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4"/>
        <v>0</v>
      </c>
      <c r="AQ22" s="42"/>
      <c r="AR22" s="42"/>
      <c r="AS22" s="42"/>
      <c r="AT22" s="43"/>
      <c r="AU22" s="687">
        <f t="shared" si="5"/>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6"/>
        <v>0</v>
      </c>
      <c r="DO22" s="683"/>
      <c r="DP22" s="12" t="s">
        <v>129</v>
      </c>
      <c r="DQ22" s="12"/>
      <c r="DR22" s="92"/>
    </row>
    <row r="23" spans="1:127" ht="25.5" customHeight="1" thickTop="1" thickBot="1" x14ac:dyDescent="0.25">
      <c r="A23" s="676">
        <f t="shared" si="3"/>
        <v>8</v>
      </c>
      <c r="B23" s="1052"/>
      <c r="C23" s="1052"/>
      <c r="D23" s="888"/>
      <c r="E23" s="953"/>
      <c r="F23" s="884"/>
      <c r="G23" s="889"/>
      <c r="H23" s="1057"/>
      <c r="I23" s="684" t="str">
        <f t="shared" si="0"/>
        <v/>
      </c>
      <c r="J23" s="685">
        <f t="shared" si="1"/>
        <v>0</v>
      </c>
      <c r="K23" s="1251"/>
      <c r="L23" s="1253"/>
      <c r="M23" s="1259"/>
      <c r="N23" s="719"/>
      <c r="O23" s="720"/>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4"/>
        <v>0</v>
      </c>
      <c r="AQ23" s="42"/>
      <c r="AR23" s="42"/>
      <c r="AS23" s="42"/>
      <c r="AT23" s="43"/>
      <c r="AU23" s="687">
        <f t="shared" si="5"/>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6"/>
        <v>0</v>
      </c>
      <c r="DO23" s="683"/>
    </row>
    <row r="24" spans="1:127" ht="25.5" customHeight="1" thickTop="1" thickBot="1" x14ac:dyDescent="0.25">
      <c r="A24" s="676">
        <f t="shared" si="3"/>
        <v>9</v>
      </c>
      <c r="B24" s="1052"/>
      <c r="C24" s="1052"/>
      <c r="D24" s="888"/>
      <c r="E24" s="953"/>
      <c r="F24" s="884"/>
      <c r="G24" s="889"/>
      <c r="H24" s="1057"/>
      <c r="I24" s="684" t="str">
        <f t="shared" si="0"/>
        <v/>
      </c>
      <c r="J24" s="685">
        <f t="shared" si="1"/>
        <v>0</v>
      </c>
      <c r="K24" s="1251"/>
      <c r="L24" s="1253"/>
      <c r="M24" s="1259"/>
      <c r="N24" s="719"/>
      <c r="O24" s="720"/>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4"/>
        <v>0</v>
      </c>
      <c r="AQ24" s="42"/>
      <c r="AR24" s="42"/>
      <c r="AS24" s="42"/>
      <c r="AT24" s="43"/>
      <c r="AU24" s="687">
        <f t="shared" si="5"/>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6"/>
        <v>0</v>
      </c>
      <c r="DO24" s="683"/>
    </row>
    <row r="25" spans="1:127" ht="25.5" customHeight="1" thickTop="1" thickBot="1" x14ac:dyDescent="0.25">
      <c r="A25" s="676">
        <f t="shared" si="3"/>
        <v>10</v>
      </c>
      <c r="B25" s="1052"/>
      <c r="C25" s="1052"/>
      <c r="D25" s="888"/>
      <c r="E25" s="953"/>
      <c r="F25" s="884"/>
      <c r="G25" s="889"/>
      <c r="H25" s="1057"/>
      <c r="I25" s="684" t="str">
        <f t="shared" si="0"/>
        <v/>
      </c>
      <c r="J25" s="685">
        <f t="shared" si="1"/>
        <v>0</v>
      </c>
      <c r="K25" s="1251"/>
      <c r="L25" s="1253"/>
      <c r="M25" s="1259"/>
      <c r="N25" s="719"/>
      <c r="O25" s="720"/>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4"/>
        <v>0</v>
      </c>
      <c r="AQ25" s="42"/>
      <c r="AR25" s="42"/>
      <c r="AS25" s="42"/>
      <c r="AT25" s="43"/>
      <c r="AU25" s="687">
        <f t="shared" si="5"/>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6"/>
        <v>0</v>
      </c>
      <c r="DO25" s="683"/>
    </row>
    <row r="26" spans="1:127" ht="25.5" customHeight="1" thickTop="1" thickBot="1" x14ac:dyDescent="0.25">
      <c r="A26" s="676">
        <f t="shared" si="3"/>
        <v>11</v>
      </c>
      <c r="B26" s="1052"/>
      <c r="C26" s="1052"/>
      <c r="D26" s="888"/>
      <c r="E26" s="953"/>
      <c r="F26" s="884"/>
      <c r="G26" s="889"/>
      <c r="H26" s="1057"/>
      <c r="I26" s="684" t="str">
        <f t="shared" si="0"/>
        <v/>
      </c>
      <c r="J26" s="685">
        <f t="shared" si="1"/>
        <v>0</v>
      </c>
      <c r="K26" s="1251"/>
      <c r="L26" s="1253"/>
      <c r="M26" s="1259"/>
      <c r="N26" s="719"/>
      <c r="O26" s="720"/>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4"/>
        <v>0</v>
      </c>
      <c r="AQ26" s="42"/>
      <c r="AR26" s="42"/>
      <c r="AS26" s="42"/>
      <c r="AT26" s="43"/>
      <c r="AU26" s="687">
        <f t="shared" si="5"/>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6"/>
        <v>0</v>
      </c>
      <c r="DO26" s="683"/>
    </row>
    <row r="27" spans="1:127" ht="25.5" customHeight="1" thickTop="1" thickBot="1" x14ac:dyDescent="0.25">
      <c r="A27" s="676">
        <f t="shared" si="3"/>
        <v>12</v>
      </c>
      <c r="B27" s="1052"/>
      <c r="C27" s="1052"/>
      <c r="D27" s="888"/>
      <c r="E27" s="953"/>
      <c r="F27" s="884"/>
      <c r="G27" s="889"/>
      <c r="H27" s="1057"/>
      <c r="I27" s="684" t="str">
        <f t="shared" si="0"/>
        <v/>
      </c>
      <c r="J27" s="685">
        <f t="shared" si="1"/>
        <v>0</v>
      </c>
      <c r="K27" s="1251"/>
      <c r="L27" s="1253"/>
      <c r="M27" s="1259"/>
      <c r="N27" s="719"/>
      <c r="O27" s="720"/>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4"/>
        <v>0</v>
      </c>
      <c r="AQ27" s="42"/>
      <c r="AR27" s="42"/>
      <c r="AS27" s="42"/>
      <c r="AT27" s="43"/>
      <c r="AU27" s="687">
        <f t="shared" si="5"/>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6"/>
        <v>0</v>
      </c>
      <c r="DO27" s="683"/>
    </row>
    <row r="28" spans="1:127" ht="25.5" customHeight="1" thickTop="1" thickBot="1" x14ac:dyDescent="0.25">
      <c r="A28" s="676">
        <f t="shared" si="3"/>
        <v>13</v>
      </c>
      <c r="B28" s="1052"/>
      <c r="C28" s="1052"/>
      <c r="D28" s="888"/>
      <c r="E28" s="953"/>
      <c r="F28" s="884"/>
      <c r="G28" s="889"/>
      <c r="H28" s="1057"/>
      <c r="I28" s="684" t="str">
        <f t="shared" si="0"/>
        <v/>
      </c>
      <c r="J28" s="685">
        <f t="shared" si="1"/>
        <v>0</v>
      </c>
      <c r="K28" s="1251"/>
      <c r="L28" s="1253"/>
      <c r="M28" s="1259"/>
      <c r="N28" s="719"/>
      <c r="O28" s="720"/>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4"/>
        <v>0</v>
      </c>
      <c r="AQ28" s="42"/>
      <c r="AR28" s="42"/>
      <c r="AS28" s="42"/>
      <c r="AT28" s="43"/>
      <c r="AU28" s="687">
        <f t="shared" si="5"/>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6"/>
        <v>0</v>
      </c>
      <c r="DO28" s="683"/>
    </row>
    <row r="29" spans="1:127" ht="25.5" customHeight="1" thickTop="1" thickBot="1" x14ac:dyDescent="0.25">
      <c r="A29" s="676">
        <f t="shared" si="3"/>
        <v>14</v>
      </c>
      <c r="B29" s="1052"/>
      <c r="C29" s="1052"/>
      <c r="D29" s="888"/>
      <c r="E29" s="953"/>
      <c r="F29" s="884"/>
      <c r="G29" s="889"/>
      <c r="H29" s="1057"/>
      <c r="I29" s="684" t="str">
        <f t="shared" si="0"/>
        <v/>
      </c>
      <c r="J29" s="685">
        <f t="shared" si="1"/>
        <v>0</v>
      </c>
      <c r="K29" s="1251"/>
      <c r="L29" s="1253"/>
      <c r="M29" s="1259"/>
      <c r="N29" s="719"/>
      <c r="O29" s="720"/>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4"/>
        <v>0</v>
      </c>
      <c r="AQ29" s="42"/>
      <c r="AR29" s="42"/>
      <c r="AS29" s="42"/>
      <c r="AT29" s="43"/>
      <c r="AU29" s="687">
        <f t="shared" si="5"/>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6"/>
        <v>0</v>
      </c>
      <c r="DO29" s="683"/>
    </row>
    <row r="30" spans="1:127" ht="25.5" customHeight="1" thickTop="1" thickBot="1" x14ac:dyDescent="0.25">
      <c r="A30" s="676">
        <f t="shared" si="3"/>
        <v>15</v>
      </c>
      <c r="B30" s="1052"/>
      <c r="C30" s="1052"/>
      <c r="D30" s="888"/>
      <c r="E30" s="953"/>
      <c r="F30" s="884"/>
      <c r="G30" s="889"/>
      <c r="H30" s="1057"/>
      <c r="I30" s="684" t="str">
        <f t="shared" si="0"/>
        <v/>
      </c>
      <c r="J30" s="685">
        <f t="shared" si="1"/>
        <v>0</v>
      </c>
      <c r="K30" s="1251"/>
      <c r="L30" s="1253"/>
      <c r="M30" s="1259"/>
      <c r="N30" s="719"/>
      <c r="O30" s="720"/>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4"/>
        <v>0</v>
      </c>
      <c r="AQ30" s="42"/>
      <c r="AR30" s="42"/>
      <c r="AS30" s="42"/>
      <c r="AT30" s="43"/>
      <c r="AU30" s="687">
        <f t="shared" si="5"/>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6"/>
        <v>0</v>
      </c>
      <c r="DO30" s="683"/>
    </row>
    <row r="31" spans="1:127" ht="25.5" customHeight="1" thickTop="1" thickBot="1" x14ac:dyDescent="0.25">
      <c r="A31" s="676">
        <f t="shared" si="3"/>
        <v>16</v>
      </c>
      <c r="B31" s="1052"/>
      <c r="C31" s="1052"/>
      <c r="D31" s="888"/>
      <c r="E31" s="953"/>
      <c r="F31" s="884"/>
      <c r="G31" s="889"/>
      <c r="H31" s="1057"/>
      <c r="I31" s="684" t="str">
        <f t="shared" si="0"/>
        <v/>
      </c>
      <c r="J31" s="685">
        <f t="shared" si="1"/>
        <v>0</v>
      </c>
      <c r="K31" s="1251"/>
      <c r="L31" s="1253"/>
      <c r="M31" s="1259"/>
      <c r="N31" s="719"/>
      <c r="O31" s="720"/>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4"/>
        <v>0</v>
      </c>
      <c r="AQ31" s="42"/>
      <c r="AR31" s="42"/>
      <c r="AS31" s="42"/>
      <c r="AT31" s="43"/>
      <c r="AU31" s="687">
        <f t="shared" si="5"/>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6"/>
        <v>0</v>
      </c>
      <c r="DO31" s="683"/>
    </row>
    <row r="32" spans="1:127" ht="25.5" customHeight="1" thickTop="1" thickBot="1" x14ac:dyDescent="0.25">
      <c r="A32" s="676">
        <f t="shared" si="3"/>
        <v>17</v>
      </c>
      <c r="B32" s="1052"/>
      <c r="C32" s="1052"/>
      <c r="D32" s="888"/>
      <c r="E32" s="953"/>
      <c r="F32" s="884"/>
      <c r="G32" s="889"/>
      <c r="H32" s="1057"/>
      <c r="I32" s="684" t="str">
        <f t="shared" si="0"/>
        <v/>
      </c>
      <c r="J32" s="685">
        <f t="shared" si="1"/>
        <v>0</v>
      </c>
      <c r="K32" s="1251"/>
      <c r="L32" s="1253"/>
      <c r="M32" s="1259"/>
      <c r="N32" s="719"/>
      <c r="O32" s="720"/>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4"/>
        <v>0</v>
      </c>
      <c r="AQ32" s="42"/>
      <c r="AR32" s="42"/>
      <c r="AS32" s="42"/>
      <c r="AT32" s="43"/>
      <c r="AU32" s="687">
        <f t="shared" si="5"/>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6"/>
        <v>0</v>
      </c>
      <c r="DO32" s="683"/>
    </row>
    <row r="33" spans="1:119" ht="25.5" customHeight="1" thickTop="1" thickBot="1" x14ac:dyDescent="0.25">
      <c r="A33" s="676">
        <f t="shared" si="3"/>
        <v>18</v>
      </c>
      <c r="B33" s="1052"/>
      <c r="C33" s="1052"/>
      <c r="D33" s="888"/>
      <c r="E33" s="953"/>
      <c r="F33" s="884"/>
      <c r="G33" s="889"/>
      <c r="H33" s="1057"/>
      <c r="I33" s="684" t="str">
        <f t="shared" si="0"/>
        <v/>
      </c>
      <c r="J33" s="685">
        <f t="shared" si="1"/>
        <v>0</v>
      </c>
      <c r="K33" s="1251"/>
      <c r="L33" s="1253"/>
      <c r="M33" s="1259"/>
      <c r="N33" s="719"/>
      <c r="O33" s="720"/>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4"/>
        <v>0</v>
      </c>
      <c r="AQ33" s="42"/>
      <c r="AR33" s="42"/>
      <c r="AS33" s="42"/>
      <c r="AT33" s="43"/>
      <c r="AU33" s="687">
        <f t="shared" si="5"/>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6"/>
        <v>0</v>
      </c>
      <c r="DO33" s="683"/>
    </row>
    <row r="34" spans="1:119" ht="25.5" customHeight="1" thickTop="1" thickBot="1" x14ac:dyDescent="0.25">
      <c r="A34" s="676">
        <f t="shared" si="3"/>
        <v>19</v>
      </c>
      <c r="B34" s="1053"/>
      <c r="C34" s="1053"/>
      <c r="D34" s="938"/>
      <c r="E34" s="956"/>
      <c r="F34" s="883"/>
      <c r="G34" s="889"/>
      <c r="H34" s="1057"/>
      <c r="I34" s="684" t="str">
        <f t="shared" si="0"/>
        <v/>
      </c>
      <c r="J34" s="685">
        <f t="shared" si="1"/>
        <v>0</v>
      </c>
      <c r="K34" s="1251"/>
      <c r="L34" s="1253"/>
      <c r="M34" s="1259"/>
      <c r="N34" s="719"/>
      <c r="O34" s="720"/>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4"/>
        <v>0</v>
      </c>
      <c r="AQ34" s="42"/>
      <c r="AR34" s="42"/>
      <c r="AS34" s="42"/>
      <c r="AT34" s="43"/>
      <c r="AU34" s="687">
        <f t="shared" si="5"/>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6"/>
        <v>0</v>
      </c>
      <c r="DO34" s="683"/>
    </row>
    <row r="35" spans="1:119" ht="25.5" customHeight="1" thickTop="1" thickBot="1" x14ac:dyDescent="0.25">
      <c r="A35" s="676">
        <f t="shared" si="3"/>
        <v>20</v>
      </c>
      <c r="B35" s="1052"/>
      <c r="C35" s="1052"/>
      <c r="D35" s="888"/>
      <c r="E35" s="953"/>
      <c r="F35" s="884"/>
      <c r="G35" s="889"/>
      <c r="H35" s="1057"/>
      <c r="I35" s="684" t="str">
        <f t="shared" si="0"/>
        <v/>
      </c>
      <c r="J35" s="685">
        <f t="shared" si="1"/>
        <v>0</v>
      </c>
      <c r="K35" s="1251"/>
      <c r="L35" s="1253"/>
      <c r="M35" s="1259"/>
      <c r="N35" s="719"/>
      <c r="O35" s="720"/>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4"/>
        <v>0</v>
      </c>
      <c r="AQ35" s="42"/>
      <c r="AR35" s="42"/>
      <c r="AS35" s="42"/>
      <c r="AT35" s="43"/>
      <c r="AU35" s="687">
        <f t="shared" si="5"/>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6"/>
        <v>0</v>
      </c>
      <c r="DO35" s="683"/>
    </row>
    <row r="36" spans="1:119" ht="25.5" customHeight="1" thickTop="1" thickBot="1" x14ac:dyDescent="0.25">
      <c r="A36" s="676">
        <f t="shared" si="3"/>
        <v>21</v>
      </c>
      <c r="B36" s="1052"/>
      <c r="C36" s="1052"/>
      <c r="D36" s="888"/>
      <c r="E36" s="953"/>
      <c r="F36" s="884"/>
      <c r="G36" s="889"/>
      <c r="H36" s="1057"/>
      <c r="I36" s="684" t="str">
        <f t="shared" si="0"/>
        <v/>
      </c>
      <c r="J36" s="685">
        <f t="shared" si="1"/>
        <v>0</v>
      </c>
      <c r="K36" s="1251"/>
      <c r="L36" s="1253"/>
      <c r="M36" s="1259"/>
      <c r="N36" s="719"/>
      <c r="O36" s="720"/>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4"/>
        <v>0</v>
      </c>
      <c r="AQ36" s="42"/>
      <c r="AR36" s="42"/>
      <c r="AS36" s="42"/>
      <c r="AT36" s="43"/>
      <c r="AU36" s="687">
        <f t="shared" si="5"/>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6"/>
        <v>0</v>
      </c>
      <c r="DO36" s="683"/>
    </row>
    <row r="37" spans="1:119" ht="25.5" customHeight="1" thickTop="1" thickBot="1" x14ac:dyDescent="0.25">
      <c r="A37" s="676">
        <f t="shared" si="3"/>
        <v>22</v>
      </c>
      <c r="B37" s="1052"/>
      <c r="C37" s="1052"/>
      <c r="D37" s="888"/>
      <c r="E37" s="953"/>
      <c r="F37" s="884"/>
      <c r="G37" s="889"/>
      <c r="H37" s="1057"/>
      <c r="I37" s="684" t="str">
        <f t="shared" si="0"/>
        <v/>
      </c>
      <c r="J37" s="685">
        <f t="shared" si="1"/>
        <v>0</v>
      </c>
      <c r="K37" s="1251"/>
      <c r="L37" s="1253"/>
      <c r="M37" s="1259"/>
      <c r="N37" s="719"/>
      <c r="O37" s="720"/>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4"/>
        <v>0</v>
      </c>
      <c r="AQ37" s="42"/>
      <c r="AR37" s="42"/>
      <c r="AS37" s="42"/>
      <c r="AT37" s="43"/>
      <c r="AU37" s="687">
        <f t="shared" si="5"/>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6"/>
        <v>0</v>
      </c>
      <c r="DO37" s="683"/>
    </row>
    <row r="38" spans="1:119" ht="25.5" customHeight="1" thickTop="1" thickBot="1" x14ac:dyDescent="0.25">
      <c r="A38" s="676">
        <f t="shared" si="3"/>
        <v>23</v>
      </c>
      <c r="B38" s="1052"/>
      <c r="C38" s="1052"/>
      <c r="D38" s="888"/>
      <c r="E38" s="953"/>
      <c r="F38" s="884"/>
      <c r="G38" s="889"/>
      <c r="H38" s="1057"/>
      <c r="I38" s="684" t="str">
        <f t="shared" si="0"/>
        <v/>
      </c>
      <c r="J38" s="685">
        <f t="shared" si="1"/>
        <v>0</v>
      </c>
      <c r="K38" s="1251"/>
      <c r="L38" s="1253"/>
      <c r="M38" s="1259"/>
      <c r="N38" s="719"/>
      <c r="O38" s="720"/>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4"/>
        <v>0</v>
      </c>
      <c r="AQ38" s="42"/>
      <c r="AR38" s="42"/>
      <c r="AS38" s="42"/>
      <c r="AT38" s="43"/>
      <c r="AU38" s="687">
        <f t="shared" si="5"/>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6"/>
        <v>0</v>
      </c>
      <c r="DO38" s="683"/>
    </row>
    <row r="39" spans="1:119" ht="25.5" customHeight="1" thickTop="1" thickBot="1" x14ac:dyDescent="0.25">
      <c r="A39" s="676">
        <f t="shared" si="3"/>
        <v>24</v>
      </c>
      <c r="B39" s="1052"/>
      <c r="C39" s="1052"/>
      <c r="D39" s="888"/>
      <c r="E39" s="953"/>
      <c r="F39" s="884"/>
      <c r="G39" s="889"/>
      <c r="H39" s="1057"/>
      <c r="I39" s="684" t="str">
        <f t="shared" si="0"/>
        <v/>
      </c>
      <c r="J39" s="685">
        <f t="shared" si="1"/>
        <v>0</v>
      </c>
      <c r="K39" s="1251"/>
      <c r="L39" s="1253"/>
      <c r="M39" s="1259"/>
      <c r="N39" s="719"/>
      <c r="O39" s="720"/>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4"/>
        <v>0</v>
      </c>
      <c r="AQ39" s="42"/>
      <c r="AR39" s="42"/>
      <c r="AS39" s="42"/>
      <c r="AT39" s="43"/>
      <c r="AU39" s="687">
        <f t="shared" si="5"/>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6"/>
        <v>0</v>
      </c>
      <c r="DO39" s="683"/>
    </row>
    <row r="40" spans="1:119" ht="25.5" customHeight="1" thickTop="1" thickBot="1" x14ac:dyDescent="0.25">
      <c r="A40" s="676">
        <f t="shared" si="3"/>
        <v>25</v>
      </c>
      <c r="B40" s="1052"/>
      <c r="C40" s="1052"/>
      <c r="D40" s="888"/>
      <c r="E40" s="953"/>
      <c r="F40" s="884"/>
      <c r="G40" s="889"/>
      <c r="H40" s="1057"/>
      <c r="I40" s="684" t="str">
        <f t="shared" si="0"/>
        <v/>
      </c>
      <c r="J40" s="685">
        <f t="shared" si="1"/>
        <v>0</v>
      </c>
      <c r="K40" s="1251"/>
      <c r="L40" s="1253"/>
      <c r="M40" s="1259"/>
      <c r="N40" s="719"/>
      <c r="O40" s="720"/>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4"/>
        <v>0</v>
      </c>
      <c r="AQ40" s="42"/>
      <c r="AR40" s="42"/>
      <c r="AS40" s="42"/>
      <c r="AT40" s="43"/>
      <c r="AU40" s="687">
        <f t="shared" si="5"/>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6"/>
        <v>0</v>
      </c>
      <c r="DO40" s="683"/>
    </row>
    <row r="41" spans="1:119" ht="25.5" customHeight="1" thickTop="1" thickBot="1" x14ac:dyDescent="0.25">
      <c r="A41" s="676">
        <f t="shared" si="3"/>
        <v>26</v>
      </c>
      <c r="B41" s="1052"/>
      <c r="C41" s="1052"/>
      <c r="D41" s="888"/>
      <c r="E41" s="953"/>
      <c r="F41" s="884"/>
      <c r="G41" s="889"/>
      <c r="H41" s="1057"/>
      <c r="I41" s="684" t="str">
        <f t="shared" si="0"/>
        <v/>
      </c>
      <c r="J41" s="685">
        <f t="shared" si="1"/>
        <v>0</v>
      </c>
      <c r="K41" s="1251"/>
      <c r="L41" s="1253"/>
      <c r="M41" s="1259"/>
      <c r="N41" s="719"/>
      <c r="O41" s="720"/>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4"/>
        <v>0</v>
      </c>
      <c r="AQ41" s="42"/>
      <c r="AR41" s="42"/>
      <c r="AS41" s="42"/>
      <c r="AT41" s="43"/>
      <c r="AU41" s="687">
        <f t="shared" si="5"/>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6"/>
        <v>0</v>
      </c>
      <c r="DO41" s="683"/>
    </row>
    <row r="42" spans="1:119" s="1" customFormat="1" ht="25.5" customHeight="1" thickTop="1" thickBot="1" x14ac:dyDescent="0.25">
      <c r="A42" s="676">
        <f t="shared" si="3"/>
        <v>27</v>
      </c>
      <c r="B42" s="1052"/>
      <c r="C42" s="1052"/>
      <c r="D42" s="888"/>
      <c r="E42" s="953"/>
      <c r="F42" s="884"/>
      <c r="G42" s="889"/>
      <c r="H42" s="1057"/>
      <c r="I42" s="684" t="str">
        <f t="shared" si="0"/>
        <v/>
      </c>
      <c r="J42" s="685">
        <f t="shared" si="1"/>
        <v>0</v>
      </c>
      <c r="K42" s="1251"/>
      <c r="L42" s="1253"/>
      <c r="M42" s="1259"/>
      <c r="N42" s="719"/>
      <c r="O42" s="720"/>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4"/>
        <v>0</v>
      </c>
      <c r="AQ42" s="42"/>
      <c r="AR42" s="42"/>
      <c r="AS42" s="42"/>
      <c r="AT42" s="43"/>
      <c r="AU42" s="687">
        <f t="shared" si="5"/>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6"/>
        <v>0</v>
      </c>
      <c r="DO42" s="605"/>
    </row>
    <row r="43" spans="1:119" ht="25.5" customHeight="1" thickTop="1" thickBot="1" x14ac:dyDescent="0.25">
      <c r="A43" s="676">
        <f t="shared" si="3"/>
        <v>28</v>
      </c>
      <c r="B43" s="1052"/>
      <c r="C43" s="1052"/>
      <c r="D43" s="888"/>
      <c r="E43" s="953"/>
      <c r="F43" s="884"/>
      <c r="G43" s="889"/>
      <c r="H43" s="1057"/>
      <c r="I43" s="684" t="str">
        <f t="shared" si="0"/>
        <v/>
      </c>
      <c r="J43" s="685">
        <f t="shared" si="1"/>
        <v>0</v>
      </c>
      <c r="K43" s="1251"/>
      <c r="L43" s="1253"/>
      <c r="M43" s="1259"/>
      <c r="N43" s="719"/>
      <c r="O43" s="720"/>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4"/>
        <v>0</v>
      </c>
      <c r="AQ43" s="42"/>
      <c r="AR43" s="42"/>
      <c r="AS43" s="42"/>
      <c r="AT43" s="43"/>
      <c r="AU43" s="687">
        <f t="shared" si="5"/>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6"/>
        <v>0</v>
      </c>
      <c r="DO43" s="683"/>
    </row>
    <row r="44" spans="1:119" ht="25.5" customHeight="1" thickTop="1" thickBot="1" x14ac:dyDescent="0.25">
      <c r="A44" s="676">
        <f t="shared" si="3"/>
        <v>29</v>
      </c>
      <c r="B44" s="1052"/>
      <c r="C44" s="1052"/>
      <c r="D44" s="888"/>
      <c r="E44" s="953"/>
      <c r="F44" s="884"/>
      <c r="G44" s="889"/>
      <c r="H44" s="1057"/>
      <c r="I44" s="684" t="str">
        <f t="shared" si="0"/>
        <v/>
      </c>
      <c r="J44" s="685">
        <f t="shared" si="1"/>
        <v>0</v>
      </c>
      <c r="K44" s="1251"/>
      <c r="L44" s="1253"/>
      <c r="M44" s="1259"/>
      <c r="N44" s="719"/>
      <c r="O44" s="720"/>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4"/>
        <v>0</v>
      </c>
      <c r="AQ44" s="42"/>
      <c r="AR44" s="42"/>
      <c r="AS44" s="42"/>
      <c r="AT44" s="43"/>
      <c r="AU44" s="687">
        <f t="shared" si="5"/>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6"/>
        <v>0</v>
      </c>
      <c r="DO44" s="683"/>
    </row>
    <row r="45" spans="1:119" ht="25.5" customHeight="1" thickTop="1" thickBot="1" x14ac:dyDescent="0.25">
      <c r="A45" s="676">
        <f t="shared" si="3"/>
        <v>30</v>
      </c>
      <c r="B45" s="1054"/>
      <c r="C45" s="1054"/>
      <c r="D45" s="83"/>
      <c r="E45" s="954"/>
      <c r="F45" s="52"/>
      <c r="G45" s="103"/>
      <c r="H45" s="1058"/>
      <c r="I45" s="684" t="str">
        <f t="shared" si="0"/>
        <v/>
      </c>
      <c r="J45" s="685">
        <f t="shared" si="1"/>
        <v>0</v>
      </c>
      <c r="K45" s="1251"/>
      <c r="L45" s="1253"/>
      <c r="M45" s="1259"/>
      <c r="N45" s="719"/>
      <c r="O45" s="720"/>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4"/>
        <v>0</v>
      </c>
      <c r="AQ45" s="42"/>
      <c r="AR45" s="42"/>
      <c r="AS45" s="42"/>
      <c r="AT45" s="43"/>
      <c r="AU45" s="687">
        <f t="shared" si="5"/>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6"/>
        <v>0</v>
      </c>
      <c r="DO45" s="683"/>
    </row>
    <row r="46" spans="1:119" ht="25.5" customHeight="1" thickTop="1" thickBot="1" x14ac:dyDescent="0.25">
      <c r="A46" s="676">
        <f t="shared" si="3"/>
        <v>31</v>
      </c>
      <c r="B46" s="1054"/>
      <c r="C46" s="1054"/>
      <c r="D46" s="83"/>
      <c r="E46" s="954"/>
      <c r="F46" s="52"/>
      <c r="G46" s="103"/>
      <c r="H46" s="1059"/>
      <c r="I46" s="684" t="str">
        <f t="shared" si="0"/>
        <v/>
      </c>
      <c r="J46" s="685">
        <f t="shared" si="1"/>
        <v>0</v>
      </c>
      <c r="K46" s="1254"/>
      <c r="L46" s="1253"/>
      <c r="M46" s="1259"/>
      <c r="N46" s="719"/>
      <c r="O46" s="720"/>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4"/>
        <v>0</v>
      </c>
      <c r="AQ46" s="42"/>
      <c r="AR46" s="42"/>
      <c r="AS46" s="42"/>
      <c r="AT46" s="43"/>
      <c r="AU46" s="687">
        <f t="shared" si="5"/>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6"/>
        <v>0</v>
      </c>
      <c r="DO46" s="683"/>
    </row>
    <row r="47" spans="1:119" ht="25.5" customHeight="1" thickTop="1" thickBot="1" x14ac:dyDescent="0.25">
      <c r="A47" s="676">
        <f t="shared" si="3"/>
        <v>32</v>
      </c>
      <c r="B47" s="1054"/>
      <c r="C47" s="1054"/>
      <c r="D47" s="83"/>
      <c r="E47" s="954"/>
      <c r="F47" s="52"/>
      <c r="G47" s="103"/>
      <c r="H47" s="1059"/>
      <c r="I47" s="684" t="str">
        <f t="shared" si="0"/>
        <v/>
      </c>
      <c r="J47" s="685">
        <f t="shared" si="1"/>
        <v>0</v>
      </c>
      <c r="K47" s="1254"/>
      <c r="L47" s="1253"/>
      <c r="M47" s="1259"/>
      <c r="N47" s="719"/>
      <c r="O47" s="720"/>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4"/>
        <v>0</v>
      </c>
      <c r="AQ47" s="42"/>
      <c r="AR47" s="42"/>
      <c r="AS47" s="42"/>
      <c r="AT47" s="43"/>
      <c r="AU47" s="687">
        <f t="shared" si="5"/>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6"/>
        <v>0</v>
      </c>
      <c r="DO47" s="683"/>
    </row>
    <row r="48" spans="1:119" ht="25.5" customHeight="1" thickTop="1" thickBot="1" x14ac:dyDescent="0.25">
      <c r="A48" s="676">
        <f t="shared" si="3"/>
        <v>33</v>
      </c>
      <c r="B48" s="1054"/>
      <c r="C48" s="1054"/>
      <c r="D48" s="83"/>
      <c r="E48" s="954"/>
      <c r="F48" s="52"/>
      <c r="G48" s="103"/>
      <c r="H48" s="1059"/>
      <c r="I48" s="684" t="str">
        <f t="shared" si="0"/>
        <v/>
      </c>
      <c r="J48" s="685">
        <f t="shared" si="1"/>
        <v>0</v>
      </c>
      <c r="K48" s="1254"/>
      <c r="L48" s="1253"/>
      <c r="M48" s="1259"/>
      <c r="N48" s="719"/>
      <c r="O48" s="720"/>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4"/>
        <v>0</v>
      </c>
      <c r="AQ48" s="42"/>
      <c r="AR48" s="42"/>
      <c r="AS48" s="42"/>
      <c r="AT48" s="43"/>
      <c r="AU48" s="687">
        <f t="shared" si="5"/>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6"/>
        <v>0</v>
      </c>
      <c r="DO48" s="683"/>
    </row>
    <row r="49" spans="1:119" ht="25.5" customHeight="1" thickTop="1" thickBot="1" x14ac:dyDescent="0.25">
      <c r="A49" s="676">
        <f t="shared" si="3"/>
        <v>34</v>
      </c>
      <c r="B49" s="1054"/>
      <c r="C49" s="1054"/>
      <c r="D49" s="83"/>
      <c r="E49" s="954"/>
      <c r="F49" s="52"/>
      <c r="G49" s="103"/>
      <c r="H49" s="1059"/>
      <c r="I49" s="684" t="str">
        <f t="shared" si="0"/>
        <v/>
      </c>
      <c r="J49" s="685">
        <f t="shared" si="1"/>
        <v>0</v>
      </c>
      <c r="K49" s="1254"/>
      <c r="L49" s="1253"/>
      <c r="M49" s="1259"/>
      <c r="N49" s="719"/>
      <c r="O49" s="720"/>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4"/>
        <v>0</v>
      </c>
      <c r="AQ49" s="42"/>
      <c r="AR49" s="42"/>
      <c r="AS49" s="42"/>
      <c r="AT49" s="43"/>
      <c r="AU49" s="687">
        <f t="shared" si="5"/>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6"/>
        <v>0</v>
      </c>
      <c r="DO49" s="683"/>
    </row>
    <row r="50" spans="1:119" ht="25.5" customHeight="1" thickTop="1" thickBot="1" x14ac:dyDescent="0.25">
      <c r="A50" s="676">
        <f t="shared" si="3"/>
        <v>35</v>
      </c>
      <c r="B50" s="1054"/>
      <c r="C50" s="1054"/>
      <c r="D50" s="83"/>
      <c r="E50" s="954"/>
      <c r="F50" s="52"/>
      <c r="G50" s="103"/>
      <c r="H50" s="1059"/>
      <c r="I50" s="684" t="str">
        <f t="shared" si="0"/>
        <v/>
      </c>
      <c r="J50" s="685">
        <f t="shared" si="1"/>
        <v>0</v>
      </c>
      <c r="K50" s="1254"/>
      <c r="L50" s="1253"/>
      <c r="M50" s="1259"/>
      <c r="N50" s="719"/>
      <c r="O50" s="720"/>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4"/>
        <v>0</v>
      </c>
      <c r="AQ50" s="42"/>
      <c r="AR50" s="42"/>
      <c r="AS50" s="42"/>
      <c r="AT50" s="43"/>
      <c r="AU50" s="687">
        <f t="shared" si="5"/>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6"/>
        <v>0</v>
      </c>
      <c r="DO50" s="683"/>
    </row>
    <row r="51" spans="1:119" s="1" customFormat="1" ht="25.5" customHeight="1" thickTop="1" thickBot="1" x14ac:dyDescent="0.25">
      <c r="A51" s="676">
        <f t="shared" si="3"/>
        <v>36</v>
      </c>
      <c r="B51" s="1054"/>
      <c r="C51" s="1054"/>
      <c r="D51" s="83"/>
      <c r="E51" s="954"/>
      <c r="F51" s="52"/>
      <c r="G51" s="103"/>
      <c r="H51" s="1059"/>
      <c r="I51" s="684" t="str">
        <f t="shared" si="0"/>
        <v/>
      </c>
      <c r="J51" s="685">
        <f t="shared" si="1"/>
        <v>0</v>
      </c>
      <c r="K51" s="1254"/>
      <c r="L51" s="1253"/>
      <c r="M51" s="1259"/>
      <c r="N51" s="719"/>
      <c r="O51" s="720"/>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4"/>
        <v>0</v>
      </c>
      <c r="AQ51" s="42"/>
      <c r="AR51" s="42"/>
      <c r="AS51" s="42"/>
      <c r="AT51" s="43"/>
      <c r="AU51" s="687">
        <f t="shared" si="5"/>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6"/>
        <v>0</v>
      </c>
      <c r="DO51" s="605"/>
    </row>
    <row r="52" spans="1:119" ht="25.5" customHeight="1" thickTop="1" thickBot="1" x14ac:dyDescent="0.25">
      <c r="A52" s="676">
        <f t="shared" si="3"/>
        <v>37</v>
      </c>
      <c r="B52" s="1054"/>
      <c r="C52" s="1054"/>
      <c r="D52" s="83"/>
      <c r="E52" s="954"/>
      <c r="F52" s="52"/>
      <c r="G52" s="103"/>
      <c r="H52" s="1059"/>
      <c r="I52" s="684" t="str">
        <f t="shared" si="0"/>
        <v/>
      </c>
      <c r="J52" s="685">
        <f t="shared" si="1"/>
        <v>0</v>
      </c>
      <c r="K52" s="1254"/>
      <c r="L52" s="1253"/>
      <c r="M52" s="1259"/>
      <c r="N52" s="719"/>
      <c r="O52" s="720"/>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4"/>
        <v>0</v>
      </c>
      <c r="AQ52" s="42"/>
      <c r="AR52" s="42"/>
      <c r="AS52" s="42"/>
      <c r="AT52" s="43"/>
      <c r="AU52" s="687">
        <f t="shared" si="5"/>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6"/>
        <v>0</v>
      </c>
      <c r="DO52" s="683"/>
    </row>
    <row r="53" spans="1:119" ht="25.5" customHeight="1" thickTop="1" thickBot="1" x14ac:dyDescent="0.25">
      <c r="A53" s="676">
        <f t="shared" si="3"/>
        <v>38</v>
      </c>
      <c r="B53" s="1054"/>
      <c r="C53" s="1054"/>
      <c r="D53" s="83"/>
      <c r="E53" s="954"/>
      <c r="F53" s="52"/>
      <c r="G53" s="103"/>
      <c r="H53" s="1059"/>
      <c r="I53" s="684" t="str">
        <f t="shared" si="0"/>
        <v/>
      </c>
      <c r="J53" s="685">
        <f t="shared" si="1"/>
        <v>0</v>
      </c>
      <c r="K53" s="1254"/>
      <c r="L53" s="1253"/>
      <c r="M53" s="1259"/>
      <c r="N53" s="719"/>
      <c r="O53" s="720"/>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4"/>
        <v>0</v>
      </c>
      <c r="AQ53" s="42"/>
      <c r="AR53" s="42"/>
      <c r="AS53" s="42"/>
      <c r="AT53" s="43"/>
      <c r="AU53" s="687">
        <f t="shared" si="5"/>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6"/>
        <v>0</v>
      </c>
      <c r="DO53" s="683"/>
    </row>
    <row r="54" spans="1:119" ht="25.5" customHeight="1" thickTop="1" thickBot="1" x14ac:dyDescent="0.25">
      <c r="A54" s="676">
        <f t="shared" si="3"/>
        <v>39</v>
      </c>
      <c r="B54" s="1054"/>
      <c r="C54" s="1054"/>
      <c r="D54" s="83"/>
      <c r="E54" s="954"/>
      <c r="F54" s="52"/>
      <c r="G54" s="103"/>
      <c r="H54" s="1059"/>
      <c r="I54" s="684" t="str">
        <f t="shared" si="0"/>
        <v/>
      </c>
      <c r="J54" s="685">
        <f t="shared" si="1"/>
        <v>0</v>
      </c>
      <c r="K54" s="1254"/>
      <c r="L54" s="1253"/>
      <c r="M54" s="1259"/>
      <c r="N54" s="719"/>
      <c r="O54" s="720"/>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4"/>
        <v>0</v>
      </c>
      <c r="AQ54" s="42"/>
      <c r="AR54" s="42"/>
      <c r="AS54" s="42"/>
      <c r="AT54" s="43"/>
      <c r="AU54" s="687">
        <f t="shared" si="5"/>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6"/>
        <v>0</v>
      </c>
      <c r="DO54" s="683"/>
    </row>
    <row r="55" spans="1:119" ht="25.5" customHeight="1" thickTop="1" thickBot="1" x14ac:dyDescent="0.25">
      <c r="A55" s="676">
        <f t="shared" si="3"/>
        <v>40</v>
      </c>
      <c r="B55" s="1054"/>
      <c r="C55" s="1054"/>
      <c r="D55" s="83"/>
      <c r="E55" s="954"/>
      <c r="F55" s="52"/>
      <c r="G55" s="103"/>
      <c r="H55" s="1059"/>
      <c r="I55" s="684" t="str">
        <f t="shared" si="0"/>
        <v/>
      </c>
      <c r="J55" s="685">
        <f t="shared" si="1"/>
        <v>0</v>
      </c>
      <c r="K55" s="1254"/>
      <c r="L55" s="1253"/>
      <c r="M55" s="1259"/>
      <c r="N55" s="719"/>
      <c r="O55" s="720"/>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4"/>
        <v>0</v>
      </c>
      <c r="AQ55" s="42"/>
      <c r="AR55" s="42"/>
      <c r="AS55" s="42"/>
      <c r="AT55" s="43"/>
      <c r="AU55" s="687">
        <f t="shared" si="5"/>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6"/>
        <v>0</v>
      </c>
      <c r="DO55" s="683"/>
    </row>
    <row r="56" spans="1:119" ht="25.5" customHeight="1" thickTop="1" thickBot="1" x14ac:dyDescent="0.25">
      <c r="A56" s="676">
        <f t="shared" si="3"/>
        <v>41</v>
      </c>
      <c r="B56" s="1054"/>
      <c r="C56" s="1054"/>
      <c r="D56" s="83"/>
      <c r="E56" s="954"/>
      <c r="F56" s="52"/>
      <c r="G56" s="103"/>
      <c r="H56" s="1059"/>
      <c r="I56" s="684" t="str">
        <f t="shared" si="0"/>
        <v/>
      </c>
      <c r="J56" s="685">
        <f t="shared" si="1"/>
        <v>0</v>
      </c>
      <c r="K56" s="1254"/>
      <c r="L56" s="1253"/>
      <c r="M56" s="1259"/>
      <c r="N56" s="719"/>
      <c r="O56" s="720"/>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4"/>
        <v>0</v>
      </c>
      <c r="AQ56" s="42"/>
      <c r="AR56" s="42"/>
      <c r="AS56" s="42"/>
      <c r="AT56" s="43"/>
      <c r="AU56" s="687">
        <f t="shared" si="5"/>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6"/>
        <v>0</v>
      </c>
      <c r="DO56" s="683"/>
    </row>
    <row r="57" spans="1:119" ht="25.5" customHeight="1" thickTop="1" thickBot="1" x14ac:dyDescent="0.25">
      <c r="A57" s="676">
        <f t="shared" si="3"/>
        <v>42</v>
      </c>
      <c r="B57" s="1054"/>
      <c r="C57" s="1054"/>
      <c r="D57" s="83"/>
      <c r="E57" s="954"/>
      <c r="F57" s="52"/>
      <c r="G57" s="103"/>
      <c r="H57" s="1059"/>
      <c r="I57" s="684" t="str">
        <f t="shared" si="0"/>
        <v/>
      </c>
      <c r="J57" s="685">
        <f t="shared" si="1"/>
        <v>0</v>
      </c>
      <c r="K57" s="1254"/>
      <c r="L57" s="1253"/>
      <c r="M57" s="1259"/>
      <c r="N57" s="719"/>
      <c r="O57" s="720"/>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4"/>
        <v>0</v>
      </c>
      <c r="AQ57" s="42"/>
      <c r="AR57" s="42"/>
      <c r="AS57" s="42"/>
      <c r="AT57" s="43"/>
      <c r="AU57" s="687">
        <f t="shared" si="5"/>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6"/>
        <v>0</v>
      </c>
      <c r="DO57" s="683"/>
    </row>
    <row r="58" spans="1:119" ht="25.5" customHeight="1" thickTop="1" thickBot="1" x14ac:dyDescent="0.25">
      <c r="A58" s="676">
        <f t="shared" si="3"/>
        <v>43</v>
      </c>
      <c r="B58" s="1054"/>
      <c r="C58" s="1054"/>
      <c r="D58" s="83"/>
      <c r="E58" s="954"/>
      <c r="F58" s="52"/>
      <c r="G58" s="103"/>
      <c r="H58" s="1059"/>
      <c r="I58" s="684" t="str">
        <f t="shared" si="0"/>
        <v/>
      </c>
      <c r="J58" s="685">
        <f t="shared" si="1"/>
        <v>0</v>
      </c>
      <c r="K58" s="1254"/>
      <c r="L58" s="1253"/>
      <c r="M58" s="1259"/>
      <c r="N58" s="719"/>
      <c r="O58" s="720"/>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4"/>
        <v>0</v>
      </c>
      <c r="AQ58" s="42"/>
      <c r="AR58" s="42"/>
      <c r="AS58" s="42"/>
      <c r="AT58" s="43"/>
      <c r="AU58" s="687">
        <f t="shared" si="5"/>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6"/>
        <v>0</v>
      </c>
      <c r="DO58" s="683"/>
    </row>
    <row r="59" spans="1:119" ht="25.5" customHeight="1" thickTop="1" thickBot="1" x14ac:dyDescent="0.25">
      <c r="A59" s="676">
        <f t="shared" si="3"/>
        <v>44</v>
      </c>
      <c r="B59" s="1054"/>
      <c r="C59" s="1054"/>
      <c r="D59" s="83"/>
      <c r="E59" s="954"/>
      <c r="F59" s="52"/>
      <c r="G59" s="103"/>
      <c r="H59" s="1059"/>
      <c r="I59" s="684" t="str">
        <f t="shared" si="0"/>
        <v/>
      </c>
      <c r="J59" s="685">
        <f t="shared" si="1"/>
        <v>0</v>
      </c>
      <c r="K59" s="1254"/>
      <c r="L59" s="1253"/>
      <c r="M59" s="1259"/>
      <c r="N59" s="719"/>
      <c r="O59" s="720"/>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4"/>
        <v>0</v>
      </c>
      <c r="AQ59" s="42"/>
      <c r="AR59" s="42"/>
      <c r="AS59" s="42"/>
      <c r="AT59" s="43"/>
      <c r="AU59" s="687">
        <f t="shared" si="5"/>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6"/>
        <v>0</v>
      </c>
      <c r="DO59" s="683"/>
    </row>
    <row r="60" spans="1:119" ht="25.5" customHeight="1" thickTop="1" thickBot="1" x14ac:dyDescent="0.25">
      <c r="A60" s="676">
        <f t="shared" si="3"/>
        <v>45</v>
      </c>
      <c r="B60" s="1054"/>
      <c r="C60" s="1054"/>
      <c r="D60" s="83"/>
      <c r="E60" s="954"/>
      <c r="F60" s="52"/>
      <c r="G60" s="103"/>
      <c r="H60" s="1059"/>
      <c r="I60" s="684" t="str">
        <f t="shared" si="0"/>
        <v/>
      </c>
      <c r="J60" s="685">
        <f t="shared" si="1"/>
        <v>0</v>
      </c>
      <c r="K60" s="1254"/>
      <c r="L60" s="1253"/>
      <c r="M60" s="1259"/>
      <c r="N60" s="719"/>
      <c r="O60" s="720"/>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4"/>
        <v>0</v>
      </c>
      <c r="AQ60" s="42"/>
      <c r="AR60" s="42"/>
      <c r="AS60" s="42"/>
      <c r="AT60" s="43"/>
      <c r="AU60" s="687">
        <f t="shared" si="5"/>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6"/>
        <v>0</v>
      </c>
      <c r="DO60" s="683"/>
    </row>
    <row r="61" spans="1:119" ht="25.5" customHeight="1" thickTop="1" thickBot="1" x14ac:dyDescent="0.25">
      <c r="A61" s="676">
        <f t="shared" si="3"/>
        <v>46</v>
      </c>
      <c r="B61" s="1054"/>
      <c r="C61" s="1054"/>
      <c r="D61" s="83"/>
      <c r="E61" s="954"/>
      <c r="F61" s="52"/>
      <c r="G61" s="103"/>
      <c r="H61" s="1059"/>
      <c r="I61" s="684" t="str">
        <f t="shared" si="0"/>
        <v/>
      </c>
      <c r="J61" s="685">
        <f t="shared" si="1"/>
        <v>0</v>
      </c>
      <c r="K61" s="1254"/>
      <c r="L61" s="1253"/>
      <c r="M61" s="1259"/>
      <c r="N61" s="719"/>
      <c r="O61" s="720"/>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4"/>
        <v>0</v>
      </c>
      <c r="AQ61" s="42"/>
      <c r="AR61" s="42"/>
      <c r="AS61" s="42"/>
      <c r="AT61" s="43"/>
      <c r="AU61" s="687">
        <f t="shared" si="5"/>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6"/>
        <v>0</v>
      </c>
      <c r="DO61" s="683"/>
    </row>
    <row r="62" spans="1:119" ht="25.5" customHeight="1" thickTop="1" thickBot="1" x14ac:dyDescent="0.25">
      <c r="A62" s="676">
        <f t="shared" si="3"/>
        <v>47</v>
      </c>
      <c r="B62" s="1054"/>
      <c r="C62" s="1054"/>
      <c r="D62" s="83"/>
      <c r="E62" s="954"/>
      <c r="F62" s="52"/>
      <c r="G62" s="103"/>
      <c r="H62" s="1059"/>
      <c r="I62" s="684" t="str">
        <f t="shared" si="0"/>
        <v/>
      </c>
      <c r="J62" s="685">
        <f t="shared" si="1"/>
        <v>0</v>
      </c>
      <c r="K62" s="1254"/>
      <c r="L62" s="1253"/>
      <c r="M62" s="1259"/>
      <c r="N62" s="719"/>
      <c r="O62" s="720"/>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4"/>
        <v>0</v>
      </c>
      <c r="AQ62" s="42"/>
      <c r="AR62" s="42"/>
      <c r="AS62" s="42"/>
      <c r="AT62" s="43"/>
      <c r="AU62" s="687">
        <f t="shared" si="5"/>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6"/>
        <v>0</v>
      </c>
      <c r="DO62" s="683"/>
    </row>
    <row r="63" spans="1:119" ht="25.5" customHeight="1" thickTop="1" thickBot="1" x14ac:dyDescent="0.25">
      <c r="A63" s="676">
        <f t="shared" si="3"/>
        <v>48</v>
      </c>
      <c r="B63" s="1054"/>
      <c r="C63" s="1054"/>
      <c r="D63" s="83"/>
      <c r="E63" s="954"/>
      <c r="F63" s="52"/>
      <c r="G63" s="103"/>
      <c r="H63" s="1059"/>
      <c r="I63" s="684" t="str">
        <f t="shared" si="0"/>
        <v/>
      </c>
      <c r="J63" s="685">
        <f t="shared" si="1"/>
        <v>0</v>
      </c>
      <c r="K63" s="1254"/>
      <c r="L63" s="1253"/>
      <c r="M63" s="1259"/>
      <c r="N63" s="719"/>
      <c r="O63" s="720"/>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4"/>
        <v>0</v>
      </c>
      <c r="AQ63" s="42"/>
      <c r="AR63" s="42"/>
      <c r="AS63" s="42"/>
      <c r="AT63" s="43"/>
      <c r="AU63" s="687">
        <f t="shared" si="5"/>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6"/>
        <v>0</v>
      </c>
      <c r="DO63" s="683"/>
    </row>
    <row r="64" spans="1:119" ht="25.5" customHeight="1" thickTop="1" thickBot="1" x14ac:dyDescent="0.25">
      <c r="A64" s="676">
        <f t="shared" si="3"/>
        <v>49</v>
      </c>
      <c r="B64" s="1054"/>
      <c r="C64" s="1054"/>
      <c r="D64" s="83"/>
      <c r="E64" s="954"/>
      <c r="F64" s="52"/>
      <c r="G64" s="103"/>
      <c r="H64" s="1059"/>
      <c r="I64" s="684" t="str">
        <f t="shared" si="0"/>
        <v/>
      </c>
      <c r="J64" s="685">
        <f t="shared" si="1"/>
        <v>0</v>
      </c>
      <c r="K64" s="1254"/>
      <c r="L64" s="1253"/>
      <c r="M64" s="1259"/>
      <c r="N64" s="719"/>
      <c r="O64" s="720"/>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4"/>
        <v>0</v>
      </c>
      <c r="AQ64" s="42"/>
      <c r="AR64" s="42"/>
      <c r="AS64" s="42"/>
      <c r="AT64" s="43"/>
      <c r="AU64" s="687">
        <f t="shared" si="5"/>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6"/>
        <v>0</v>
      </c>
      <c r="DO64" s="683"/>
    </row>
    <row r="65" spans="1:119" ht="25.5" customHeight="1" thickTop="1" thickBot="1" x14ac:dyDescent="0.25">
      <c r="A65" s="676">
        <f t="shared" si="3"/>
        <v>50</v>
      </c>
      <c r="B65" s="1054"/>
      <c r="C65" s="1054"/>
      <c r="D65" s="83"/>
      <c r="E65" s="954"/>
      <c r="F65" s="52"/>
      <c r="G65" s="103"/>
      <c r="H65" s="1059"/>
      <c r="I65" s="684" t="str">
        <f t="shared" si="0"/>
        <v/>
      </c>
      <c r="J65" s="685">
        <f t="shared" si="1"/>
        <v>0</v>
      </c>
      <c r="K65" s="1254"/>
      <c r="L65" s="1253"/>
      <c r="M65" s="1259"/>
      <c r="N65" s="719"/>
      <c r="O65" s="720"/>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4"/>
        <v>0</v>
      </c>
      <c r="AQ65" s="42"/>
      <c r="AR65" s="42"/>
      <c r="AS65" s="42"/>
      <c r="AT65" s="43"/>
      <c r="AU65" s="687">
        <f t="shared" si="5"/>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6"/>
        <v>0</v>
      </c>
      <c r="DO65" s="683"/>
    </row>
    <row r="66" spans="1:119" ht="25.5" customHeight="1" thickTop="1" thickBot="1" x14ac:dyDescent="0.25">
      <c r="A66" s="676">
        <f t="shared" si="3"/>
        <v>51</v>
      </c>
      <c r="B66" s="1054"/>
      <c r="C66" s="1054"/>
      <c r="D66" s="83"/>
      <c r="E66" s="954"/>
      <c r="F66" s="52"/>
      <c r="G66" s="103"/>
      <c r="H66" s="1059"/>
      <c r="I66" s="684" t="str">
        <f t="shared" si="0"/>
        <v/>
      </c>
      <c r="J66" s="685">
        <f t="shared" si="1"/>
        <v>0</v>
      </c>
      <c r="K66" s="1254"/>
      <c r="L66" s="1253"/>
      <c r="M66" s="1259"/>
      <c r="N66" s="719"/>
      <c r="O66" s="720"/>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4"/>
        <v>0</v>
      </c>
      <c r="AQ66" s="42"/>
      <c r="AR66" s="42"/>
      <c r="AS66" s="42"/>
      <c r="AT66" s="43"/>
      <c r="AU66" s="687">
        <f t="shared" si="5"/>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6"/>
        <v>0</v>
      </c>
      <c r="DO66" s="683"/>
    </row>
    <row r="67" spans="1:119" ht="25.5" customHeight="1" thickTop="1" thickBot="1" x14ac:dyDescent="0.25">
      <c r="A67" s="676">
        <f t="shared" si="3"/>
        <v>52</v>
      </c>
      <c r="B67" s="1054"/>
      <c r="C67" s="1054"/>
      <c r="D67" s="83"/>
      <c r="E67" s="954"/>
      <c r="F67" s="52"/>
      <c r="G67" s="103"/>
      <c r="H67" s="1059"/>
      <c r="I67" s="684" t="str">
        <f t="shared" si="0"/>
        <v/>
      </c>
      <c r="J67" s="685">
        <f t="shared" si="1"/>
        <v>0</v>
      </c>
      <c r="K67" s="1254"/>
      <c r="L67" s="1253"/>
      <c r="M67" s="1259"/>
      <c r="N67" s="719"/>
      <c r="O67" s="720"/>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4"/>
        <v>0</v>
      </c>
      <c r="AQ67" s="42"/>
      <c r="AR67" s="42"/>
      <c r="AS67" s="42"/>
      <c r="AT67" s="43"/>
      <c r="AU67" s="687">
        <f t="shared" si="5"/>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6"/>
        <v>0</v>
      </c>
      <c r="DO67" s="683"/>
    </row>
    <row r="68" spans="1:119" ht="25.5" customHeight="1" thickTop="1" thickBot="1" x14ac:dyDescent="0.25">
      <c r="A68" s="676">
        <f t="shared" si="3"/>
        <v>53</v>
      </c>
      <c r="B68" s="1054"/>
      <c r="C68" s="1054"/>
      <c r="D68" s="83"/>
      <c r="E68" s="954"/>
      <c r="F68" s="52"/>
      <c r="G68" s="103"/>
      <c r="H68" s="1059"/>
      <c r="I68" s="684" t="str">
        <f t="shared" si="0"/>
        <v/>
      </c>
      <c r="J68" s="685">
        <f t="shared" si="1"/>
        <v>0</v>
      </c>
      <c r="K68" s="1254"/>
      <c r="L68" s="1253"/>
      <c r="M68" s="1259"/>
      <c r="N68" s="719"/>
      <c r="O68" s="720"/>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4"/>
        <v>0</v>
      </c>
      <c r="AQ68" s="42"/>
      <c r="AR68" s="42"/>
      <c r="AS68" s="42"/>
      <c r="AT68" s="43"/>
      <c r="AU68" s="687">
        <f t="shared" si="5"/>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6"/>
        <v>0</v>
      </c>
      <c r="DO68" s="683"/>
    </row>
    <row r="69" spans="1:119" ht="25.5" customHeight="1" thickTop="1" thickBot="1" x14ac:dyDescent="0.25">
      <c r="A69" s="676">
        <f t="shared" si="3"/>
        <v>54</v>
      </c>
      <c r="B69" s="1054"/>
      <c r="C69" s="1054"/>
      <c r="D69" s="83"/>
      <c r="E69" s="954"/>
      <c r="F69" s="52"/>
      <c r="G69" s="103"/>
      <c r="H69" s="1058"/>
      <c r="I69" s="684" t="str">
        <f t="shared" si="0"/>
        <v/>
      </c>
      <c r="J69" s="685">
        <f t="shared" si="1"/>
        <v>0</v>
      </c>
      <c r="K69" s="1254"/>
      <c r="L69" s="1253"/>
      <c r="M69" s="1259"/>
      <c r="N69" s="719"/>
      <c r="O69" s="720"/>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4"/>
        <v>0</v>
      </c>
      <c r="AQ69" s="42"/>
      <c r="AR69" s="42"/>
      <c r="AS69" s="42"/>
      <c r="AT69" s="43"/>
      <c r="AU69" s="687">
        <f t="shared" si="5"/>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6"/>
        <v>0</v>
      </c>
      <c r="DO69" s="683"/>
    </row>
    <row r="70" spans="1:119" ht="25.5" customHeight="1" thickTop="1" thickBot="1" x14ac:dyDescent="0.25">
      <c r="A70" s="676">
        <f t="shared" si="3"/>
        <v>55</v>
      </c>
      <c r="B70" s="1054"/>
      <c r="C70" s="1054"/>
      <c r="D70" s="83"/>
      <c r="E70" s="954"/>
      <c r="F70" s="52"/>
      <c r="G70" s="103"/>
      <c r="H70" s="1058"/>
      <c r="I70" s="684" t="str">
        <f t="shared" si="0"/>
        <v/>
      </c>
      <c r="J70" s="685">
        <f t="shared" si="1"/>
        <v>0</v>
      </c>
      <c r="K70" s="1254"/>
      <c r="L70" s="1253"/>
      <c r="M70" s="1259"/>
      <c r="N70" s="719"/>
      <c r="O70" s="720"/>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4"/>
        <v>0</v>
      </c>
      <c r="AQ70" s="42"/>
      <c r="AR70" s="42"/>
      <c r="AS70" s="42"/>
      <c r="AT70" s="43"/>
      <c r="AU70" s="687">
        <f t="shared" si="5"/>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6"/>
        <v>0</v>
      </c>
      <c r="DO70" s="683"/>
    </row>
    <row r="71" spans="1:119" ht="25.5" customHeight="1" thickTop="1" thickBot="1" x14ac:dyDescent="0.25">
      <c r="A71" s="676">
        <f t="shared" si="3"/>
        <v>56</v>
      </c>
      <c r="B71" s="1054"/>
      <c r="C71" s="1054"/>
      <c r="D71" s="83"/>
      <c r="E71" s="954"/>
      <c r="F71" s="52"/>
      <c r="G71" s="103"/>
      <c r="H71" s="1058"/>
      <c r="I71" s="684" t="str">
        <f t="shared" si="0"/>
        <v/>
      </c>
      <c r="J71" s="685">
        <f t="shared" si="1"/>
        <v>0</v>
      </c>
      <c r="K71" s="1254"/>
      <c r="L71" s="1253"/>
      <c r="M71" s="1259"/>
      <c r="N71" s="719"/>
      <c r="O71" s="720"/>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4"/>
        <v>0</v>
      </c>
      <c r="AQ71" s="42"/>
      <c r="AR71" s="42"/>
      <c r="AS71" s="42"/>
      <c r="AT71" s="43"/>
      <c r="AU71" s="687">
        <f t="shared" si="5"/>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6"/>
        <v>0</v>
      </c>
      <c r="DO71" s="683"/>
    </row>
    <row r="72" spans="1:119" ht="25.5" customHeight="1" thickTop="1" thickBot="1" x14ac:dyDescent="0.25">
      <c r="A72" s="676">
        <f t="shared" si="3"/>
        <v>57</v>
      </c>
      <c r="B72" s="1054"/>
      <c r="C72" s="1054"/>
      <c r="D72" s="83"/>
      <c r="E72" s="954"/>
      <c r="F72" s="52"/>
      <c r="G72" s="103"/>
      <c r="H72" s="1058"/>
      <c r="I72" s="684" t="str">
        <f t="shared" si="0"/>
        <v/>
      </c>
      <c r="J72" s="685">
        <f t="shared" si="1"/>
        <v>0</v>
      </c>
      <c r="K72" s="1254"/>
      <c r="L72" s="1253"/>
      <c r="M72" s="1259"/>
      <c r="N72" s="719"/>
      <c r="O72" s="720"/>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4"/>
        <v>0</v>
      </c>
      <c r="AQ72" s="42"/>
      <c r="AR72" s="42"/>
      <c r="AS72" s="42"/>
      <c r="AT72" s="43"/>
      <c r="AU72" s="687">
        <f t="shared" si="5"/>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6"/>
        <v>0</v>
      </c>
      <c r="DO72" s="683"/>
    </row>
    <row r="73" spans="1:119" ht="25.5" customHeight="1" thickTop="1" thickBot="1" x14ac:dyDescent="0.25">
      <c r="A73" s="676">
        <f t="shared" si="3"/>
        <v>58</v>
      </c>
      <c r="B73" s="1054"/>
      <c r="C73" s="1054"/>
      <c r="D73" s="83"/>
      <c r="E73" s="954"/>
      <c r="F73" s="52"/>
      <c r="G73" s="103"/>
      <c r="H73" s="1058"/>
      <c r="I73" s="684" t="str">
        <f t="shared" si="0"/>
        <v/>
      </c>
      <c r="J73" s="685">
        <f t="shared" si="1"/>
        <v>0</v>
      </c>
      <c r="K73" s="1254"/>
      <c r="L73" s="1253"/>
      <c r="M73" s="1259"/>
      <c r="N73" s="719"/>
      <c r="O73" s="720"/>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4"/>
        <v>0</v>
      </c>
      <c r="AQ73" s="42"/>
      <c r="AR73" s="42"/>
      <c r="AS73" s="42"/>
      <c r="AT73" s="43"/>
      <c r="AU73" s="687">
        <f t="shared" si="5"/>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6"/>
        <v>0</v>
      </c>
      <c r="DO73" s="683"/>
    </row>
    <row r="74" spans="1:119" ht="25.5" customHeight="1" thickTop="1" thickBot="1" x14ac:dyDescent="0.25">
      <c r="A74" s="676">
        <f t="shared" si="3"/>
        <v>59</v>
      </c>
      <c r="B74" s="1054"/>
      <c r="C74" s="1054"/>
      <c r="D74" s="83"/>
      <c r="E74" s="954"/>
      <c r="F74" s="52"/>
      <c r="G74" s="103"/>
      <c r="H74" s="1058"/>
      <c r="I74" s="684" t="str">
        <f t="shared" si="0"/>
        <v/>
      </c>
      <c r="J74" s="685">
        <f t="shared" si="1"/>
        <v>0</v>
      </c>
      <c r="K74" s="1254"/>
      <c r="L74" s="1253"/>
      <c r="M74" s="1259"/>
      <c r="N74" s="719"/>
      <c r="O74" s="720"/>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4"/>
        <v>0</v>
      </c>
      <c r="AQ74" s="42"/>
      <c r="AR74" s="42"/>
      <c r="AS74" s="42"/>
      <c r="AT74" s="43"/>
      <c r="AU74" s="687">
        <f t="shared" si="5"/>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6"/>
        <v>0</v>
      </c>
      <c r="DO74" s="683"/>
    </row>
    <row r="75" spans="1:119" ht="25.5" customHeight="1" thickTop="1" thickBot="1" x14ac:dyDescent="0.25">
      <c r="A75" s="676">
        <f t="shared" si="3"/>
        <v>60</v>
      </c>
      <c r="B75" s="1054"/>
      <c r="C75" s="1054"/>
      <c r="D75" s="83"/>
      <c r="E75" s="954"/>
      <c r="F75" s="52"/>
      <c r="G75" s="103"/>
      <c r="H75" s="1058"/>
      <c r="I75" s="684" t="str">
        <f t="shared" si="0"/>
        <v/>
      </c>
      <c r="J75" s="685">
        <f t="shared" si="1"/>
        <v>0</v>
      </c>
      <c r="K75" s="1254"/>
      <c r="L75" s="1253"/>
      <c r="M75" s="1259"/>
      <c r="N75" s="719"/>
      <c r="O75" s="720"/>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4"/>
        <v>0</v>
      </c>
      <c r="AQ75" s="42"/>
      <c r="AR75" s="42"/>
      <c r="AS75" s="42"/>
      <c r="AT75" s="43"/>
      <c r="AU75" s="687">
        <f t="shared" si="5"/>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6"/>
        <v>0</v>
      </c>
      <c r="DO75" s="683"/>
    </row>
    <row r="76" spans="1:119" ht="25.5" customHeight="1" thickTop="1" thickBot="1" x14ac:dyDescent="0.25">
      <c r="A76" s="676">
        <f t="shared" si="3"/>
        <v>61</v>
      </c>
      <c r="B76" s="1054"/>
      <c r="C76" s="1054"/>
      <c r="D76" s="83"/>
      <c r="E76" s="954"/>
      <c r="F76" s="52"/>
      <c r="G76" s="103"/>
      <c r="H76" s="1058"/>
      <c r="I76" s="684" t="str">
        <f t="shared" si="0"/>
        <v/>
      </c>
      <c r="J76" s="685">
        <f t="shared" si="1"/>
        <v>0</v>
      </c>
      <c r="K76" s="1254"/>
      <c r="L76" s="1253"/>
      <c r="M76" s="1259"/>
      <c r="N76" s="719"/>
      <c r="O76" s="720"/>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4"/>
        <v>0</v>
      </c>
      <c r="AQ76" s="42"/>
      <c r="AR76" s="42"/>
      <c r="AS76" s="42"/>
      <c r="AT76" s="43"/>
      <c r="AU76" s="687">
        <f t="shared" si="5"/>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6"/>
        <v>0</v>
      </c>
      <c r="DO76" s="683"/>
    </row>
    <row r="77" spans="1:119" ht="25.5" customHeight="1" thickTop="1" thickBot="1" x14ac:dyDescent="0.25">
      <c r="A77" s="676">
        <f t="shared" si="3"/>
        <v>62</v>
      </c>
      <c r="B77" s="1054"/>
      <c r="C77" s="1054"/>
      <c r="D77" s="83"/>
      <c r="E77" s="954"/>
      <c r="F77" s="52"/>
      <c r="G77" s="103"/>
      <c r="H77" s="1058"/>
      <c r="I77" s="684" t="str">
        <f t="shared" si="0"/>
        <v/>
      </c>
      <c r="J77" s="685">
        <f t="shared" si="1"/>
        <v>0</v>
      </c>
      <c r="K77" s="1254"/>
      <c r="L77" s="1253"/>
      <c r="M77" s="1259"/>
      <c r="N77" s="719"/>
      <c r="O77" s="720"/>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4"/>
        <v>0</v>
      </c>
      <c r="AQ77" s="42"/>
      <c r="AR77" s="42"/>
      <c r="AS77" s="42"/>
      <c r="AT77" s="43"/>
      <c r="AU77" s="687">
        <f t="shared" si="5"/>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6"/>
        <v>0</v>
      </c>
      <c r="DO77" s="683"/>
    </row>
    <row r="78" spans="1:119" ht="25.5" customHeight="1" thickTop="1" thickBot="1" x14ac:dyDescent="0.25">
      <c r="A78" s="676">
        <f t="shared" si="3"/>
        <v>63</v>
      </c>
      <c r="B78" s="1054"/>
      <c r="C78" s="1054"/>
      <c r="D78" s="83"/>
      <c r="E78" s="954"/>
      <c r="F78" s="52"/>
      <c r="G78" s="103"/>
      <c r="H78" s="1058"/>
      <c r="I78" s="684" t="str">
        <f t="shared" si="0"/>
        <v/>
      </c>
      <c r="J78" s="685">
        <f t="shared" si="1"/>
        <v>0</v>
      </c>
      <c r="K78" s="1254"/>
      <c r="L78" s="1253"/>
      <c r="M78" s="1259"/>
      <c r="N78" s="719"/>
      <c r="O78" s="720"/>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4"/>
        <v>0</v>
      </c>
      <c r="AQ78" s="42"/>
      <c r="AR78" s="42"/>
      <c r="AS78" s="42"/>
      <c r="AT78" s="43"/>
      <c r="AU78" s="687">
        <f t="shared" si="5"/>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6"/>
        <v>0</v>
      </c>
      <c r="DO78" s="683"/>
    </row>
    <row r="79" spans="1:119" ht="25.5" customHeight="1" thickTop="1" thickBot="1" x14ac:dyDescent="0.25">
      <c r="A79" s="676">
        <f t="shared" si="3"/>
        <v>64</v>
      </c>
      <c r="B79" s="1054"/>
      <c r="C79" s="1054"/>
      <c r="D79" s="83"/>
      <c r="E79" s="954"/>
      <c r="F79" s="52"/>
      <c r="G79" s="103"/>
      <c r="H79" s="1058"/>
      <c r="I79" s="684" t="str">
        <f t="shared" si="0"/>
        <v/>
      </c>
      <c r="J79" s="685">
        <f t="shared" si="1"/>
        <v>0</v>
      </c>
      <c r="K79" s="1254"/>
      <c r="L79" s="1253"/>
      <c r="M79" s="1259"/>
      <c r="N79" s="719"/>
      <c r="O79" s="720"/>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4"/>
        <v>0</v>
      </c>
      <c r="AQ79" s="42"/>
      <c r="AR79" s="42"/>
      <c r="AS79" s="42"/>
      <c r="AT79" s="43"/>
      <c r="AU79" s="687">
        <f t="shared" si="5"/>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6"/>
        <v>0</v>
      </c>
      <c r="DO79" s="683"/>
    </row>
    <row r="80" spans="1:119" ht="25.5" customHeight="1" thickTop="1" thickBot="1" x14ac:dyDescent="0.25">
      <c r="A80" s="676">
        <f t="shared" si="3"/>
        <v>65</v>
      </c>
      <c r="B80" s="1054"/>
      <c r="C80" s="1054"/>
      <c r="D80" s="83"/>
      <c r="E80" s="954"/>
      <c r="F80" s="52"/>
      <c r="G80" s="103"/>
      <c r="H80" s="1058"/>
      <c r="I80" s="684" t="str">
        <f t="shared" ref="I80:I143" si="7">LEFT(H80,4)</f>
        <v/>
      </c>
      <c r="J80" s="685">
        <f t="shared" ref="J80:J143" si="8">G80-DN80</f>
        <v>0</v>
      </c>
      <c r="K80" s="1254"/>
      <c r="L80" s="1253"/>
      <c r="M80" s="1259"/>
      <c r="N80" s="719"/>
      <c r="O80" s="720"/>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4"/>
        <v>0</v>
      </c>
      <c r="AQ80" s="42"/>
      <c r="AR80" s="42"/>
      <c r="AS80" s="42"/>
      <c r="AT80" s="43"/>
      <c r="AU80" s="687">
        <f t="shared" si="5"/>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9">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6"/>
        <v>0</v>
      </c>
      <c r="DO80" s="683"/>
    </row>
    <row r="81" spans="1:119" ht="25.5" customHeight="1" thickTop="1" thickBot="1" x14ac:dyDescent="0.25">
      <c r="A81" s="676">
        <f t="shared" ref="A81:A144" si="10">$A80+1</f>
        <v>66</v>
      </c>
      <c r="B81" s="1054"/>
      <c r="C81" s="1054"/>
      <c r="D81" s="83"/>
      <c r="E81" s="954"/>
      <c r="F81" s="52"/>
      <c r="G81" s="103"/>
      <c r="H81" s="1058"/>
      <c r="I81" s="684" t="str">
        <f t="shared" si="7"/>
        <v/>
      </c>
      <c r="J81" s="685">
        <f t="shared" si="8"/>
        <v>0</v>
      </c>
      <c r="K81" s="1254"/>
      <c r="L81" s="1253"/>
      <c r="M81" s="1259"/>
      <c r="N81" s="719"/>
      <c r="O81" s="720"/>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1">SUM(AQ81:AT81)</f>
        <v>0</v>
      </c>
      <c r="AQ81" s="42"/>
      <c r="AR81" s="42"/>
      <c r="AS81" s="42"/>
      <c r="AT81" s="43"/>
      <c r="AU81" s="687">
        <f t="shared" ref="AU81:AU144" si="12">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9"/>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3">SUM(P81:AP81,AU81,AZ81:BW81,CE81:DM81)</f>
        <v>0</v>
      </c>
      <c r="DO81" s="683"/>
    </row>
    <row r="82" spans="1:119" ht="25.5" customHeight="1" thickTop="1" thickBot="1" x14ac:dyDescent="0.25">
      <c r="A82" s="676">
        <f t="shared" si="10"/>
        <v>67</v>
      </c>
      <c r="B82" s="1054"/>
      <c r="C82" s="1054"/>
      <c r="D82" s="83"/>
      <c r="E82" s="954"/>
      <c r="F82" s="52"/>
      <c r="G82" s="103"/>
      <c r="H82" s="1058"/>
      <c r="I82" s="684" t="str">
        <f t="shared" si="7"/>
        <v/>
      </c>
      <c r="J82" s="685">
        <f t="shared" si="8"/>
        <v>0</v>
      </c>
      <c r="K82" s="1254"/>
      <c r="L82" s="1253"/>
      <c r="M82" s="1259"/>
      <c r="N82" s="719"/>
      <c r="O82" s="720"/>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1"/>
        <v>0</v>
      </c>
      <c r="AQ82" s="42"/>
      <c r="AR82" s="42"/>
      <c r="AS82" s="42"/>
      <c r="AT82" s="43"/>
      <c r="AU82" s="687">
        <f t="shared" si="12"/>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9"/>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3"/>
        <v>0</v>
      </c>
      <c r="DO82" s="683"/>
    </row>
    <row r="83" spans="1:119" ht="25.5" customHeight="1" thickTop="1" thickBot="1" x14ac:dyDescent="0.25">
      <c r="A83" s="676">
        <f t="shared" si="10"/>
        <v>68</v>
      </c>
      <c r="B83" s="1054"/>
      <c r="C83" s="1054"/>
      <c r="D83" s="83"/>
      <c r="E83" s="954"/>
      <c r="F83" s="52"/>
      <c r="G83" s="103"/>
      <c r="H83" s="1058"/>
      <c r="I83" s="684" t="str">
        <f t="shared" si="7"/>
        <v/>
      </c>
      <c r="J83" s="685">
        <f t="shared" si="8"/>
        <v>0</v>
      </c>
      <c r="K83" s="1254"/>
      <c r="L83" s="1253"/>
      <c r="M83" s="1259"/>
      <c r="N83" s="719"/>
      <c r="O83" s="720"/>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1"/>
        <v>0</v>
      </c>
      <c r="AQ83" s="42"/>
      <c r="AR83" s="42"/>
      <c r="AS83" s="42"/>
      <c r="AT83" s="43"/>
      <c r="AU83" s="687">
        <f t="shared" si="12"/>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9"/>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3"/>
        <v>0</v>
      </c>
      <c r="DO83" s="683"/>
    </row>
    <row r="84" spans="1:119" ht="25.5" customHeight="1" thickTop="1" thickBot="1" x14ac:dyDescent="0.25">
      <c r="A84" s="676">
        <f t="shared" si="10"/>
        <v>69</v>
      </c>
      <c r="B84" s="1054"/>
      <c r="C84" s="1054"/>
      <c r="D84" s="83"/>
      <c r="E84" s="954"/>
      <c r="F84" s="52"/>
      <c r="G84" s="103"/>
      <c r="H84" s="1058"/>
      <c r="I84" s="684" t="str">
        <f t="shared" si="7"/>
        <v/>
      </c>
      <c r="J84" s="685">
        <f t="shared" si="8"/>
        <v>0</v>
      </c>
      <c r="K84" s="1254"/>
      <c r="L84" s="1253"/>
      <c r="M84" s="1259"/>
      <c r="N84" s="719"/>
      <c r="O84" s="720"/>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1"/>
        <v>0</v>
      </c>
      <c r="AQ84" s="42"/>
      <c r="AR84" s="42"/>
      <c r="AS84" s="42"/>
      <c r="AT84" s="43"/>
      <c r="AU84" s="687">
        <f t="shared" si="12"/>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9"/>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3"/>
        <v>0</v>
      </c>
      <c r="DO84" s="683"/>
    </row>
    <row r="85" spans="1:119" ht="25.5" customHeight="1" thickTop="1" thickBot="1" x14ac:dyDescent="0.25">
      <c r="A85" s="676">
        <f t="shared" si="10"/>
        <v>70</v>
      </c>
      <c r="B85" s="1054"/>
      <c r="C85" s="1054"/>
      <c r="D85" s="83"/>
      <c r="E85" s="954"/>
      <c r="F85" s="52"/>
      <c r="G85" s="103"/>
      <c r="H85" s="1058"/>
      <c r="I85" s="684" t="str">
        <f t="shared" si="7"/>
        <v/>
      </c>
      <c r="J85" s="685">
        <f t="shared" si="8"/>
        <v>0</v>
      </c>
      <c r="K85" s="1254"/>
      <c r="L85" s="1253"/>
      <c r="M85" s="1259"/>
      <c r="N85" s="719"/>
      <c r="O85" s="720"/>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1"/>
        <v>0</v>
      </c>
      <c r="AQ85" s="42"/>
      <c r="AR85" s="42"/>
      <c r="AS85" s="42"/>
      <c r="AT85" s="43"/>
      <c r="AU85" s="687">
        <f t="shared" si="12"/>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9"/>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3"/>
        <v>0</v>
      </c>
      <c r="DO85" s="683"/>
    </row>
    <row r="86" spans="1:119" ht="25.5" customHeight="1" thickTop="1" thickBot="1" x14ac:dyDescent="0.25">
      <c r="A86" s="676">
        <f t="shared" si="10"/>
        <v>71</v>
      </c>
      <c r="B86" s="1054"/>
      <c r="C86" s="1054"/>
      <c r="D86" s="83"/>
      <c r="E86" s="954"/>
      <c r="F86" s="52"/>
      <c r="G86" s="103"/>
      <c r="H86" s="1058"/>
      <c r="I86" s="684" t="str">
        <f t="shared" si="7"/>
        <v/>
      </c>
      <c r="J86" s="685">
        <f t="shared" si="8"/>
        <v>0</v>
      </c>
      <c r="K86" s="1254"/>
      <c r="L86" s="1253"/>
      <c r="M86" s="1259"/>
      <c r="N86" s="719"/>
      <c r="O86" s="720"/>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1"/>
        <v>0</v>
      </c>
      <c r="AQ86" s="42"/>
      <c r="AR86" s="42"/>
      <c r="AS86" s="42"/>
      <c r="AT86" s="43"/>
      <c r="AU86" s="687">
        <f t="shared" si="12"/>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9"/>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3"/>
        <v>0</v>
      </c>
      <c r="DO86" s="683"/>
    </row>
    <row r="87" spans="1:119" ht="25.5" customHeight="1" thickTop="1" thickBot="1" x14ac:dyDescent="0.25">
      <c r="A87" s="676">
        <f t="shared" si="10"/>
        <v>72</v>
      </c>
      <c r="B87" s="1054"/>
      <c r="C87" s="1054"/>
      <c r="D87" s="83"/>
      <c r="E87" s="954"/>
      <c r="F87" s="52"/>
      <c r="G87" s="103"/>
      <c r="H87" s="1058"/>
      <c r="I87" s="684" t="str">
        <f t="shared" si="7"/>
        <v/>
      </c>
      <c r="J87" s="685">
        <f t="shared" si="8"/>
        <v>0</v>
      </c>
      <c r="K87" s="1254"/>
      <c r="L87" s="1253"/>
      <c r="M87" s="1259"/>
      <c r="N87" s="719"/>
      <c r="O87" s="720"/>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1"/>
        <v>0</v>
      </c>
      <c r="AQ87" s="42"/>
      <c r="AR87" s="42"/>
      <c r="AS87" s="42"/>
      <c r="AT87" s="43"/>
      <c r="AU87" s="687">
        <f t="shared" si="12"/>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9"/>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3"/>
        <v>0</v>
      </c>
      <c r="DO87" s="683"/>
    </row>
    <row r="88" spans="1:119" ht="25.5" customHeight="1" thickTop="1" thickBot="1" x14ac:dyDescent="0.25">
      <c r="A88" s="676">
        <f t="shared" si="10"/>
        <v>73</v>
      </c>
      <c r="B88" s="1054"/>
      <c r="C88" s="1054"/>
      <c r="D88" s="83"/>
      <c r="E88" s="954"/>
      <c r="F88" s="52"/>
      <c r="G88" s="103"/>
      <c r="H88" s="1058"/>
      <c r="I88" s="684" t="str">
        <f t="shared" si="7"/>
        <v/>
      </c>
      <c r="J88" s="685">
        <f t="shared" si="8"/>
        <v>0</v>
      </c>
      <c r="K88" s="1254"/>
      <c r="L88" s="1253"/>
      <c r="M88" s="1259"/>
      <c r="N88" s="719"/>
      <c r="O88" s="720"/>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1"/>
        <v>0</v>
      </c>
      <c r="AQ88" s="42"/>
      <c r="AR88" s="42"/>
      <c r="AS88" s="42"/>
      <c r="AT88" s="43"/>
      <c r="AU88" s="687">
        <f t="shared" si="12"/>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9"/>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3"/>
        <v>0</v>
      </c>
      <c r="DO88" s="683"/>
    </row>
    <row r="89" spans="1:119" ht="25.5" customHeight="1" thickTop="1" thickBot="1" x14ac:dyDescent="0.25">
      <c r="A89" s="676">
        <f t="shared" si="10"/>
        <v>74</v>
      </c>
      <c r="B89" s="1054"/>
      <c r="C89" s="1054"/>
      <c r="D89" s="83"/>
      <c r="E89" s="954"/>
      <c r="F89" s="52"/>
      <c r="G89" s="103"/>
      <c r="H89" s="1058"/>
      <c r="I89" s="684" t="str">
        <f t="shared" si="7"/>
        <v/>
      </c>
      <c r="J89" s="685">
        <f t="shared" si="8"/>
        <v>0</v>
      </c>
      <c r="K89" s="1254"/>
      <c r="L89" s="1253"/>
      <c r="M89" s="1259"/>
      <c r="N89" s="719"/>
      <c r="O89" s="720"/>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1"/>
        <v>0</v>
      </c>
      <c r="AQ89" s="42"/>
      <c r="AR89" s="42"/>
      <c r="AS89" s="42"/>
      <c r="AT89" s="43"/>
      <c r="AU89" s="687">
        <f t="shared" si="12"/>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9"/>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3"/>
        <v>0</v>
      </c>
      <c r="DO89" s="683"/>
    </row>
    <row r="90" spans="1:119" ht="25.5" customHeight="1" thickTop="1" thickBot="1" x14ac:dyDescent="0.25">
      <c r="A90" s="676">
        <f t="shared" si="10"/>
        <v>75</v>
      </c>
      <c r="B90" s="1054"/>
      <c r="C90" s="1054"/>
      <c r="D90" s="83"/>
      <c r="E90" s="954"/>
      <c r="F90" s="52"/>
      <c r="G90" s="103"/>
      <c r="H90" s="1058"/>
      <c r="I90" s="684" t="str">
        <f t="shared" si="7"/>
        <v/>
      </c>
      <c r="J90" s="685">
        <f t="shared" si="8"/>
        <v>0</v>
      </c>
      <c r="K90" s="1254"/>
      <c r="L90" s="1253"/>
      <c r="M90" s="1259"/>
      <c r="N90" s="719"/>
      <c r="O90" s="720"/>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1"/>
        <v>0</v>
      </c>
      <c r="AQ90" s="42"/>
      <c r="AR90" s="42"/>
      <c r="AS90" s="42"/>
      <c r="AT90" s="43"/>
      <c r="AU90" s="687">
        <f t="shared" si="12"/>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9"/>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3"/>
        <v>0</v>
      </c>
      <c r="DO90" s="683"/>
    </row>
    <row r="91" spans="1:119" ht="25.5" customHeight="1" thickTop="1" thickBot="1" x14ac:dyDescent="0.25">
      <c r="A91" s="676">
        <f t="shared" si="10"/>
        <v>76</v>
      </c>
      <c r="B91" s="1054"/>
      <c r="C91" s="1054"/>
      <c r="D91" s="83"/>
      <c r="E91" s="954"/>
      <c r="F91" s="52"/>
      <c r="G91" s="103"/>
      <c r="H91" s="1058"/>
      <c r="I91" s="684" t="str">
        <f t="shared" si="7"/>
        <v/>
      </c>
      <c r="J91" s="685">
        <f t="shared" si="8"/>
        <v>0</v>
      </c>
      <c r="K91" s="1254"/>
      <c r="L91" s="1253"/>
      <c r="M91" s="1259"/>
      <c r="N91" s="719"/>
      <c r="O91" s="720"/>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1"/>
        <v>0</v>
      </c>
      <c r="AQ91" s="42"/>
      <c r="AR91" s="42"/>
      <c r="AS91" s="42"/>
      <c r="AT91" s="43"/>
      <c r="AU91" s="687">
        <f t="shared" si="12"/>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9"/>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3"/>
        <v>0</v>
      </c>
      <c r="DO91" s="683"/>
    </row>
    <row r="92" spans="1:119" ht="25.5" customHeight="1" thickTop="1" thickBot="1" x14ac:dyDescent="0.25">
      <c r="A92" s="676">
        <f t="shared" si="10"/>
        <v>77</v>
      </c>
      <c r="B92" s="1054"/>
      <c r="C92" s="1054"/>
      <c r="D92" s="83"/>
      <c r="E92" s="954"/>
      <c r="F92" s="52"/>
      <c r="G92" s="103"/>
      <c r="H92" s="1058"/>
      <c r="I92" s="684" t="str">
        <f t="shared" si="7"/>
        <v/>
      </c>
      <c r="J92" s="685">
        <f t="shared" si="8"/>
        <v>0</v>
      </c>
      <c r="K92" s="1254"/>
      <c r="L92" s="1253"/>
      <c r="M92" s="1259"/>
      <c r="N92" s="719"/>
      <c r="O92" s="720"/>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1"/>
        <v>0</v>
      </c>
      <c r="AQ92" s="42"/>
      <c r="AR92" s="42"/>
      <c r="AS92" s="42"/>
      <c r="AT92" s="43"/>
      <c r="AU92" s="687">
        <f t="shared" si="12"/>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9"/>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3"/>
        <v>0</v>
      </c>
      <c r="DO92" s="683"/>
    </row>
    <row r="93" spans="1:119" ht="25.5" customHeight="1" thickTop="1" thickBot="1" x14ac:dyDescent="0.25">
      <c r="A93" s="676">
        <f t="shared" si="10"/>
        <v>78</v>
      </c>
      <c r="B93" s="1054"/>
      <c r="C93" s="1054"/>
      <c r="D93" s="83"/>
      <c r="E93" s="954"/>
      <c r="F93" s="52"/>
      <c r="G93" s="103"/>
      <c r="H93" s="1058"/>
      <c r="I93" s="684" t="str">
        <f t="shared" si="7"/>
        <v/>
      </c>
      <c r="J93" s="685">
        <f t="shared" si="8"/>
        <v>0</v>
      </c>
      <c r="K93" s="1254"/>
      <c r="L93" s="1253"/>
      <c r="M93" s="1259"/>
      <c r="N93" s="719"/>
      <c r="O93" s="720"/>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1"/>
        <v>0</v>
      </c>
      <c r="AQ93" s="42"/>
      <c r="AR93" s="42"/>
      <c r="AS93" s="42"/>
      <c r="AT93" s="43"/>
      <c r="AU93" s="687">
        <f t="shared" si="12"/>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9"/>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3"/>
        <v>0</v>
      </c>
      <c r="DO93" s="683"/>
    </row>
    <row r="94" spans="1:119" ht="25.5" customHeight="1" thickTop="1" thickBot="1" x14ac:dyDescent="0.25">
      <c r="A94" s="676">
        <f t="shared" si="10"/>
        <v>79</v>
      </c>
      <c r="B94" s="1054"/>
      <c r="C94" s="1054"/>
      <c r="D94" s="83"/>
      <c r="E94" s="954"/>
      <c r="F94" s="52"/>
      <c r="G94" s="103"/>
      <c r="H94" s="1058"/>
      <c r="I94" s="684" t="str">
        <f t="shared" si="7"/>
        <v/>
      </c>
      <c r="J94" s="685">
        <f t="shared" si="8"/>
        <v>0</v>
      </c>
      <c r="K94" s="1254"/>
      <c r="L94" s="1253"/>
      <c r="M94" s="1259"/>
      <c r="N94" s="719"/>
      <c r="O94" s="720"/>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1"/>
        <v>0</v>
      </c>
      <c r="AQ94" s="42"/>
      <c r="AR94" s="42"/>
      <c r="AS94" s="42"/>
      <c r="AT94" s="43"/>
      <c r="AU94" s="687">
        <f t="shared" si="12"/>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9"/>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3"/>
        <v>0</v>
      </c>
      <c r="DO94" s="683"/>
    </row>
    <row r="95" spans="1:119" ht="25.5" customHeight="1" thickTop="1" thickBot="1" x14ac:dyDescent="0.25">
      <c r="A95" s="676">
        <f t="shared" si="10"/>
        <v>80</v>
      </c>
      <c r="B95" s="1054"/>
      <c r="C95" s="1054"/>
      <c r="D95" s="83"/>
      <c r="E95" s="954"/>
      <c r="F95" s="52"/>
      <c r="G95" s="103"/>
      <c r="H95" s="1058"/>
      <c r="I95" s="684" t="str">
        <f t="shared" si="7"/>
        <v/>
      </c>
      <c r="J95" s="685">
        <f t="shared" si="8"/>
        <v>0</v>
      </c>
      <c r="K95" s="1254"/>
      <c r="L95" s="1253"/>
      <c r="M95" s="1259"/>
      <c r="N95" s="719"/>
      <c r="O95" s="720"/>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1"/>
        <v>0</v>
      </c>
      <c r="AQ95" s="42"/>
      <c r="AR95" s="42"/>
      <c r="AS95" s="42"/>
      <c r="AT95" s="43"/>
      <c r="AU95" s="687">
        <f t="shared" si="12"/>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9"/>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3"/>
        <v>0</v>
      </c>
      <c r="DO95" s="683"/>
    </row>
    <row r="96" spans="1:119" ht="25.5" customHeight="1" thickTop="1" thickBot="1" x14ac:dyDescent="0.25">
      <c r="A96" s="676">
        <f t="shared" si="10"/>
        <v>81</v>
      </c>
      <c r="B96" s="1054"/>
      <c r="C96" s="1054"/>
      <c r="D96" s="83"/>
      <c r="E96" s="954"/>
      <c r="F96" s="52"/>
      <c r="G96" s="103"/>
      <c r="H96" s="1058"/>
      <c r="I96" s="684" t="str">
        <f t="shared" si="7"/>
        <v/>
      </c>
      <c r="J96" s="685">
        <f t="shared" si="8"/>
        <v>0</v>
      </c>
      <c r="K96" s="1254"/>
      <c r="L96" s="1253"/>
      <c r="M96" s="1259"/>
      <c r="N96" s="719"/>
      <c r="O96" s="720"/>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1"/>
        <v>0</v>
      </c>
      <c r="AQ96" s="42"/>
      <c r="AR96" s="42"/>
      <c r="AS96" s="42"/>
      <c r="AT96" s="43"/>
      <c r="AU96" s="687">
        <f t="shared" si="12"/>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9"/>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3"/>
        <v>0</v>
      </c>
      <c r="DO96" s="683"/>
    </row>
    <row r="97" spans="1:119" ht="25.5" customHeight="1" thickTop="1" thickBot="1" x14ac:dyDescent="0.25">
      <c r="A97" s="676">
        <f t="shared" si="10"/>
        <v>82</v>
      </c>
      <c r="B97" s="1054"/>
      <c r="C97" s="1054"/>
      <c r="D97" s="83"/>
      <c r="E97" s="954"/>
      <c r="F97" s="52"/>
      <c r="G97" s="103"/>
      <c r="H97" s="1058"/>
      <c r="I97" s="684" t="str">
        <f t="shared" si="7"/>
        <v/>
      </c>
      <c r="J97" s="685">
        <f t="shared" si="8"/>
        <v>0</v>
      </c>
      <c r="K97" s="1254"/>
      <c r="L97" s="1253"/>
      <c r="M97" s="1259"/>
      <c r="N97" s="719"/>
      <c r="O97" s="720"/>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1"/>
        <v>0</v>
      </c>
      <c r="AQ97" s="42"/>
      <c r="AR97" s="42"/>
      <c r="AS97" s="42"/>
      <c r="AT97" s="43"/>
      <c r="AU97" s="687">
        <f t="shared" si="12"/>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9"/>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3"/>
        <v>0</v>
      </c>
      <c r="DO97" s="683"/>
    </row>
    <row r="98" spans="1:119" ht="25.5" customHeight="1" thickTop="1" thickBot="1" x14ac:dyDescent="0.25">
      <c r="A98" s="676">
        <f t="shared" si="10"/>
        <v>83</v>
      </c>
      <c r="B98" s="1054"/>
      <c r="C98" s="1054"/>
      <c r="D98" s="83"/>
      <c r="E98" s="954"/>
      <c r="F98" s="52"/>
      <c r="G98" s="103"/>
      <c r="H98" s="1058"/>
      <c r="I98" s="684" t="str">
        <f t="shared" si="7"/>
        <v/>
      </c>
      <c r="J98" s="685">
        <f t="shared" si="8"/>
        <v>0</v>
      </c>
      <c r="K98" s="1254"/>
      <c r="L98" s="1253"/>
      <c r="M98" s="1259"/>
      <c r="N98" s="719"/>
      <c r="O98" s="720"/>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1"/>
        <v>0</v>
      </c>
      <c r="AQ98" s="42"/>
      <c r="AR98" s="42"/>
      <c r="AS98" s="42"/>
      <c r="AT98" s="43"/>
      <c r="AU98" s="687">
        <f t="shared" si="12"/>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9"/>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3"/>
        <v>0</v>
      </c>
      <c r="DO98" s="683"/>
    </row>
    <row r="99" spans="1:119" ht="25.5" customHeight="1" thickTop="1" thickBot="1" x14ac:dyDescent="0.25">
      <c r="A99" s="676">
        <f t="shared" si="10"/>
        <v>84</v>
      </c>
      <c r="B99" s="1054"/>
      <c r="C99" s="1054"/>
      <c r="D99" s="83"/>
      <c r="E99" s="954"/>
      <c r="F99" s="52"/>
      <c r="G99" s="103"/>
      <c r="H99" s="1058"/>
      <c r="I99" s="684" t="str">
        <f t="shared" si="7"/>
        <v/>
      </c>
      <c r="J99" s="685">
        <f t="shared" si="8"/>
        <v>0</v>
      </c>
      <c r="K99" s="1254"/>
      <c r="L99" s="1253"/>
      <c r="M99" s="1259"/>
      <c r="N99" s="719"/>
      <c r="O99" s="720"/>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1"/>
        <v>0</v>
      </c>
      <c r="AQ99" s="42"/>
      <c r="AR99" s="42"/>
      <c r="AS99" s="42"/>
      <c r="AT99" s="43"/>
      <c r="AU99" s="687">
        <f t="shared" si="12"/>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9"/>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3"/>
        <v>0</v>
      </c>
      <c r="DO99" s="683"/>
    </row>
    <row r="100" spans="1:119" ht="25.5" customHeight="1" thickTop="1" thickBot="1" x14ac:dyDescent="0.25">
      <c r="A100" s="676">
        <f t="shared" si="10"/>
        <v>85</v>
      </c>
      <c r="B100" s="1054"/>
      <c r="C100" s="1054"/>
      <c r="D100" s="83"/>
      <c r="E100" s="954"/>
      <c r="F100" s="52"/>
      <c r="G100" s="103"/>
      <c r="H100" s="1058"/>
      <c r="I100" s="684" t="str">
        <f t="shared" si="7"/>
        <v/>
      </c>
      <c r="J100" s="685">
        <f t="shared" si="8"/>
        <v>0</v>
      </c>
      <c r="K100" s="1254"/>
      <c r="L100" s="1253"/>
      <c r="M100" s="1259"/>
      <c r="N100" s="719"/>
      <c r="O100" s="720"/>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1"/>
        <v>0</v>
      </c>
      <c r="AQ100" s="42"/>
      <c r="AR100" s="42"/>
      <c r="AS100" s="42"/>
      <c r="AT100" s="43"/>
      <c r="AU100" s="687">
        <f t="shared" si="12"/>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9"/>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3"/>
        <v>0</v>
      </c>
      <c r="DO100" s="683"/>
    </row>
    <row r="101" spans="1:119" ht="25.5" customHeight="1" thickTop="1" thickBot="1" x14ac:dyDescent="0.25">
      <c r="A101" s="676">
        <f t="shared" si="10"/>
        <v>86</v>
      </c>
      <c r="B101" s="1054"/>
      <c r="C101" s="1054"/>
      <c r="D101" s="83"/>
      <c r="E101" s="954"/>
      <c r="F101" s="52"/>
      <c r="G101" s="103"/>
      <c r="H101" s="1058"/>
      <c r="I101" s="684" t="str">
        <f t="shared" si="7"/>
        <v/>
      </c>
      <c r="J101" s="685">
        <f t="shared" si="8"/>
        <v>0</v>
      </c>
      <c r="K101" s="1254"/>
      <c r="L101" s="1253"/>
      <c r="M101" s="1259"/>
      <c r="N101" s="719"/>
      <c r="O101" s="720"/>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1"/>
        <v>0</v>
      </c>
      <c r="AQ101" s="42"/>
      <c r="AR101" s="42"/>
      <c r="AS101" s="42"/>
      <c r="AT101" s="43"/>
      <c r="AU101" s="687">
        <f t="shared" si="12"/>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9"/>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3"/>
        <v>0</v>
      </c>
      <c r="DO101" s="683"/>
    </row>
    <row r="102" spans="1:119" ht="25.5" customHeight="1" thickTop="1" thickBot="1" x14ac:dyDescent="0.25">
      <c r="A102" s="676">
        <f t="shared" si="10"/>
        <v>87</v>
      </c>
      <c r="B102" s="1054"/>
      <c r="C102" s="1054"/>
      <c r="D102" s="83"/>
      <c r="E102" s="954"/>
      <c r="F102" s="52"/>
      <c r="G102" s="103"/>
      <c r="H102" s="1058"/>
      <c r="I102" s="684" t="str">
        <f t="shared" si="7"/>
        <v/>
      </c>
      <c r="J102" s="685">
        <f t="shared" si="8"/>
        <v>0</v>
      </c>
      <c r="K102" s="1254"/>
      <c r="L102" s="1253"/>
      <c r="M102" s="1259"/>
      <c r="N102" s="719"/>
      <c r="O102" s="720"/>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1"/>
        <v>0</v>
      </c>
      <c r="AQ102" s="42"/>
      <c r="AR102" s="42"/>
      <c r="AS102" s="42"/>
      <c r="AT102" s="43"/>
      <c r="AU102" s="687">
        <f t="shared" si="12"/>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9"/>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3"/>
        <v>0</v>
      </c>
      <c r="DO102" s="683"/>
    </row>
    <row r="103" spans="1:119" ht="25.5" customHeight="1" thickTop="1" thickBot="1" x14ac:dyDescent="0.25">
      <c r="A103" s="676">
        <f t="shared" si="10"/>
        <v>88</v>
      </c>
      <c r="B103" s="1054"/>
      <c r="C103" s="1054"/>
      <c r="D103" s="83"/>
      <c r="E103" s="954"/>
      <c r="F103" s="52"/>
      <c r="G103" s="103"/>
      <c r="H103" s="1058"/>
      <c r="I103" s="684" t="str">
        <f t="shared" si="7"/>
        <v/>
      </c>
      <c r="J103" s="685">
        <f t="shared" si="8"/>
        <v>0</v>
      </c>
      <c r="K103" s="1254"/>
      <c r="L103" s="1253"/>
      <c r="M103" s="1259"/>
      <c r="N103" s="719"/>
      <c r="O103" s="720"/>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1"/>
        <v>0</v>
      </c>
      <c r="AQ103" s="42"/>
      <c r="AR103" s="42"/>
      <c r="AS103" s="42"/>
      <c r="AT103" s="43"/>
      <c r="AU103" s="687">
        <f t="shared" si="12"/>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9"/>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3"/>
        <v>0</v>
      </c>
      <c r="DO103" s="683"/>
    </row>
    <row r="104" spans="1:119" ht="25.5" customHeight="1" thickTop="1" thickBot="1" x14ac:dyDescent="0.25">
      <c r="A104" s="676">
        <f t="shared" si="10"/>
        <v>89</v>
      </c>
      <c r="B104" s="1054"/>
      <c r="C104" s="1054"/>
      <c r="D104" s="83"/>
      <c r="E104" s="954"/>
      <c r="F104" s="52"/>
      <c r="G104" s="103"/>
      <c r="H104" s="1058"/>
      <c r="I104" s="684" t="str">
        <f t="shared" si="7"/>
        <v/>
      </c>
      <c r="J104" s="685">
        <f t="shared" si="8"/>
        <v>0</v>
      </c>
      <c r="K104" s="1254"/>
      <c r="L104" s="1253"/>
      <c r="M104" s="1259"/>
      <c r="N104" s="719"/>
      <c r="O104" s="720"/>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1"/>
        <v>0</v>
      </c>
      <c r="AQ104" s="42"/>
      <c r="AR104" s="42"/>
      <c r="AS104" s="42"/>
      <c r="AT104" s="43"/>
      <c r="AU104" s="687">
        <f t="shared" si="12"/>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9"/>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3"/>
        <v>0</v>
      </c>
      <c r="DO104" s="683"/>
    </row>
    <row r="105" spans="1:119" ht="25.5" customHeight="1" thickTop="1" thickBot="1" x14ac:dyDescent="0.25">
      <c r="A105" s="676">
        <f t="shared" si="10"/>
        <v>90</v>
      </c>
      <c r="B105" s="1054"/>
      <c r="C105" s="1054"/>
      <c r="D105" s="83"/>
      <c r="E105" s="954"/>
      <c r="F105" s="52"/>
      <c r="G105" s="103"/>
      <c r="H105" s="1058"/>
      <c r="I105" s="684" t="str">
        <f t="shared" si="7"/>
        <v/>
      </c>
      <c r="J105" s="685">
        <f t="shared" si="8"/>
        <v>0</v>
      </c>
      <c r="K105" s="1254"/>
      <c r="L105" s="1253"/>
      <c r="M105" s="1259"/>
      <c r="N105" s="719"/>
      <c r="O105" s="720"/>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1"/>
        <v>0</v>
      </c>
      <c r="AQ105" s="42"/>
      <c r="AR105" s="42"/>
      <c r="AS105" s="42"/>
      <c r="AT105" s="43"/>
      <c r="AU105" s="687">
        <f t="shared" si="12"/>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9"/>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3"/>
        <v>0</v>
      </c>
      <c r="DO105" s="683"/>
    </row>
    <row r="106" spans="1:119" ht="25.5" customHeight="1" thickTop="1" thickBot="1" x14ac:dyDescent="0.25">
      <c r="A106" s="676">
        <f t="shared" si="10"/>
        <v>91</v>
      </c>
      <c r="B106" s="1054"/>
      <c r="C106" s="1054"/>
      <c r="D106" s="83"/>
      <c r="E106" s="954"/>
      <c r="F106" s="52"/>
      <c r="G106" s="103"/>
      <c r="H106" s="1058"/>
      <c r="I106" s="684" t="str">
        <f t="shared" si="7"/>
        <v/>
      </c>
      <c r="J106" s="685">
        <f t="shared" si="8"/>
        <v>0</v>
      </c>
      <c r="K106" s="1254"/>
      <c r="L106" s="1253"/>
      <c r="M106" s="1259"/>
      <c r="N106" s="719"/>
      <c r="O106" s="720"/>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1"/>
        <v>0</v>
      </c>
      <c r="AQ106" s="42"/>
      <c r="AR106" s="42"/>
      <c r="AS106" s="42"/>
      <c r="AT106" s="43"/>
      <c r="AU106" s="687">
        <f t="shared" si="12"/>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9"/>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3"/>
        <v>0</v>
      </c>
      <c r="DO106" s="683"/>
    </row>
    <row r="107" spans="1:119" ht="25.5" customHeight="1" thickTop="1" thickBot="1" x14ac:dyDescent="0.25">
      <c r="A107" s="676">
        <f t="shared" si="10"/>
        <v>92</v>
      </c>
      <c r="B107" s="1054"/>
      <c r="C107" s="1054"/>
      <c r="D107" s="83"/>
      <c r="E107" s="954"/>
      <c r="F107" s="52"/>
      <c r="G107" s="103"/>
      <c r="H107" s="1058"/>
      <c r="I107" s="684" t="str">
        <f t="shared" si="7"/>
        <v/>
      </c>
      <c r="J107" s="685">
        <f t="shared" si="8"/>
        <v>0</v>
      </c>
      <c r="K107" s="1254"/>
      <c r="L107" s="1253"/>
      <c r="M107" s="1259"/>
      <c r="N107" s="719"/>
      <c r="O107" s="720"/>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1"/>
        <v>0</v>
      </c>
      <c r="AQ107" s="42"/>
      <c r="AR107" s="42"/>
      <c r="AS107" s="42"/>
      <c r="AT107" s="43"/>
      <c r="AU107" s="687">
        <f t="shared" si="12"/>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9"/>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3"/>
        <v>0</v>
      </c>
      <c r="DO107" s="683"/>
    </row>
    <row r="108" spans="1:119" ht="25.5" customHeight="1" thickTop="1" thickBot="1" x14ac:dyDescent="0.25">
      <c r="A108" s="676">
        <f t="shared" si="10"/>
        <v>93</v>
      </c>
      <c r="B108" s="1054"/>
      <c r="C108" s="1054"/>
      <c r="D108" s="83"/>
      <c r="E108" s="954"/>
      <c r="F108" s="52"/>
      <c r="G108" s="103"/>
      <c r="H108" s="1058"/>
      <c r="I108" s="684" t="str">
        <f t="shared" si="7"/>
        <v/>
      </c>
      <c r="J108" s="685">
        <f t="shared" si="8"/>
        <v>0</v>
      </c>
      <c r="K108" s="1254"/>
      <c r="L108" s="1253"/>
      <c r="M108" s="1259"/>
      <c r="N108" s="719"/>
      <c r="O108" s="720"/>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1"/>
        <v>0</v>
      </c>
      <c r="AQ108" s="42"/>
      <c r="AR108" s="42"/>
      <c r="AS108" s="42"/>
      <c r="AT108" s="43"/>
      <c r="AU108" s="687">
        <f t="shared" si="12"/>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9"/>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3"/>
        <v>0</v>
      </c>
      <c r="DO108" s="683"/>
    </row>
    <row r="109" spans="1:119" ht="25.5" customHeight="1" thickTop="1" thickBot="1" x14ac:dyDescent="0.25">
      <c r="A109" s="676">
        <f t="shared" si="10"/>
        <v>94</v>
      </c>
      <c r="B109" s="1054"/>
      <c r="C109" s="1054"/>
      <c r="D109" s="83"/>
      <c r="E109" s="954"/>
      <c r="F109" s="52"/>
      <c r="G109" s="103"/>
      <c r="H109" s="1058"/>
      <c r="I109" s="684" t="str">
        <f t="shared" si="7"/>
        <v/>
      </c>
      <c r="J109" s="685">
        <f t="shared" si="8"/>
        <v>0</v>
      </c>
      <c r="K109" s="1254"/>
      <c r="L109" s="1253"/>
      <c r="M109" s="1259"/>
      <c r="N109" s="719"/>
      <c r="O109" s="720"/>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1"/>
        <v>0</v>
      </c>
      <c r="AQ109" s="42"/>
      <c r="AR109" s="42"/>
      <c r="AS109" s="42"/>
      <c r="AT109" s="43"/>
      <c r="AU109" s="687">
        <f t="shared" si="12"/>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9"/>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3"/>
        <v>0</v>
      </c>
      <c r="DO109" s="683"/>
    </row>
    <row r="110" spans="1:119" ht="25.5" customHeight="1" thickTop="1" thickBot="1" x14ac:dyDescent="0.25">
      <c r="A110" s="676">
        <f t="shared" si="10"/>
        <v>95</v>
      </c>
      <c r="B110" s="1054"/>
      <c r="C110" s="1054"/>
      <c r="D110" s="83"/>
      <c r="E110" s="954"/>
      <c r="F110" s="52"/>
      <c r="G110" s="103"/>
      <c r="H110" s="1058"/>
      <c r="I110" s="684" t="str">
        <f t="shared" si="7"/>
        <v/>
      </c>
      <c r="J110" s="685">
        <f t="shared" si="8"/>
        <v>0</v>
      </c>
      <c r="K110" s="1254"/>
      <c r="L110" s="1253"/>
      <c r="M110" s="1259"/>
      <c r="N110" s="719"/>
      <c r="O110" s="720"/>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1"/>
        <v>0</v>
      </c>
      <c r="AQ110" s="42"/>
      <c r="AR110" s="42"/>
      <c r="AS110" s="42"/>
      <c r="AT110" s="43"/>
      <c r="AU110" s="687">
        <f t="shared" si="12"/>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9"/>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3"/>
        <v>0</v>
      </c>
      <c r="DO110" s="683"/>
    </row>
    <row r="111" spans="1:119" ht="25.5" customHeight="1" thickTop="1" thickBot="1" x14ac:dyDescent="0.25">
      <c r="A111" s="676">
        <f t="shared" si="10"/>
        <v>96</v>
      </c>
      <c r="B111" s="1054"/>
      <c r="C111" s="1054"/>
      <c r="D111" s="83"/>
      <c r="E111" s="954"/>
      <c r="F111" s="52"/>
      <c r="G111" s="103"/>
      <c r="H111" s="1058"/>
      <c r="I111" s="684" t="str">
        <f t="shared" si="7"/>
        <v/>
      </c>
      <c r="J111" s="685">
        <f t="shared" si="8"/>
        <v>0</v>
      </c>
      <c r="K111" s="1254"/>
      <c r="L111" s="1253"/>
      <c r="M111" s="1259"/>
      <c r="N111" s="719"/>
      <c r="O111" s="720"/>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1"/>
        <v>0</v>
      </c>
      <c r="AQ111" s="42"/>
      <c r="AR111" s="42"/>
      <c r="AS111" s="42"/>
      <c r="AT111" s="43"/>
      <c r="AU111" s="687">
        <f t="shared" si="12"/>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9"/>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3"/>
        <v>0</v>
      </c>
      <c r="DO111" s="683"/>
    </row>
    <row r="112" spans="1:119" ht="25.5" customHeight="1" thickTop="1" thickBot="1" x14ac:dyDescent="0.25">
      <c r="A112" s="676">
        <f t="shared" si="10"/>
        <v>97</v>
      </c>
      <c r="B112" s="1054"/>
      <c r="C112" s="1054"/>
      <c r="D112" s="83"/>
      <c r="E112" s="954"/>
      <c r="F112" s="52"/>
      <c r="G112" s="103"/>
      <c r="H112" s="1058"/>
      <c r="I112" s="684" t="str">
        <f t="shared" si="7"/>
        <v/>
      </c>
      <c r="J112" s="685">
        <f t="shared" si="8"/>
        <v>0</v>
      </c>
      <c r="K112" s="1254"/>
      <c r="L112" s="1253"/>
      <c r="M112" s="1259"/>
      <c r="N112" s="719"/>
      <c r="O112" s="720"/>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1"/>
        <v>0</v>
      </c>
      <c r="AQ112" s="42"/>
      <c r="AR112" s="42"/>
      <c r="AS112" s="42"/>
      <c r="AT112" s="43"/>
      <c r="AU112" s="687">
        <f t="shared" si="12"/>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9"/>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3"/>
        <v>0</v>
      </c>
      <c r="DO112" s="683"/>
    </row>
    <row r="113" spans="1:119" ht="25.5" customHeight="1" thickTop="1" thickBot="1" x14ac:dyDescent="0.25">
      <c r="A113" s="676">
        <f t="shared" si="10"/>
        <v>98</v>
      </c>
      <c r="B113" s="1054"/>
      <c r="C113" s="1054"/>
      <c r="D113" s="83"/>
      <c r="E113" s="954"/>
      <c r="F113" s="52"/>
      <c r="G113" s="103"/>
      <c r="H113" s="1058"/>
      <c r="I113" s="684" t="str">
        <f t="shared" si="7"/>
        <v/>
      </c>
      <c r="J113" s="685">
        <f t="shared" si="8"/>
        <v>0</v>
      </c>
      <c r="K113" s="1254"/>
      <c r="L113" s="1253"/>
      <c r="M113" s="1259"/>
      <c r="N113" s="719"/>
      <c r="O113" s="720"/>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1"/>
        <v>0</v>
      </c>
      <c r="AQ113" s="42"/>
      <c r="AR113" s="42"/>
      <c r="AS113" s="42"/>
      <c r="AT113" s="43"/>
      <c r="AU113" s="687">
        <f t="shared" si="12"/>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9"/>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3"/>
        <v>0</v>
      </c>
      <c r="DO113" s="683"/>
    </row>
    <row r="114" spans="1:119" ht="25.5" customHeight="1" thickTop="1" thickBot="1" x14ac:dyDescent="0.25">
      <c r="A114" s="676">
        <f t="shared" si="10"/>
        <v>99</v>
      </c>
      <c r="B114" s="1054"/>
      <c r="C114" s="1054"/>
      <c r="D114" s="83"/>
      <c r="E114" s="954"/>
      <c r="F114" s="52"/>
      <c r="G114" s="103"/>
      <c r="H114" s="1058"/>
      <c r="I114" s="684" t="str">
        <f t="shared" si="7"/>
        <v/>
      </c>
      <c r="J114" s="685">
        <f t="shared" si="8"/>
        <v>0</v>
      </c>
      <c r="K114" s="1254"/>
      <c r="L114" s="1253"/>
      <c r="M114" s="1259"/>
      <c r="N114" s="719"/>
      <c r="O114" s="720"/>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1"/>
        <v>0</v>
      </c>
      <c r="AQ114" s="42"/>
      <c r="AR114" s="42"/>
      <c r="AS114" s="42"/>
      <c r="AT114" s="43"/>
      <c r="AU114" s="687">
        <f t="shared" si="12"/>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9"/>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3"/>
        <v>0</v>
      </c>
      <c r="DO114" s="683"/>
    </row>
    <row r="115" spans="1:119" ht="25.5" customHeight="1" thickTop="1" thickBot="1" x14ac:dyDescent="0.25">
      <c r="A115" s="676">
        <f t="shared" si="10"/>
        <v>100</v>
      </c>
      <c r="B115" s="1054"/>
      <c r="C115" s="1054"/>
      <c r="D115" s="83"/>
      <c r="E115" s="954"/>
      <c r="F115" s="52"/>
      <c r="G115" s="103"/>
      <c r="H115" s="1058"/>
      <c r="I115" s="684" t="str">
        <f t="shared" si="7"/>
        <v/>
      </c>
      <c r="J115" s="685">
        <f t="shared" si="8"/>
        <v>0</v>
      </c>
      <c r="K115" s="1254"/>
      <c r="L115" s="1253"/>
      <c r="M115" s="1259"/>
      <c r="N115" s="719"/>
      <c r="O115" s="720"/>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1"/>
        <v>0</v>
      </c>
      <c r="AQ115" s="42"/>
      <c r="AR115" s="42"/>
      <c r="AS115" s="42"/>
      <c r="AT115" s="43"/>
      <c r="AU115" s="687">
        <f t="shared" si="12"/>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9"/>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3"/>
        <v>0</v>
      </c>
      <c r="DO115" s="683"/>
    </row>
    <row r="116" spans="1:119" ht="25.5" customHeight="1" thickTop="1" thickBot="1" x14ac:dyDescent="0.25">
      <c r="A116" s="676">
        <f t="shared" si="10"/>
        <v>101</v>
      </c>
      <c r="B116" s="1054"/>
      <c r="C116" s="1054"/>
      <c r="D116" s="83"/>
      <c r="E116" s="954"/>
      <c r="F116" s="52"/>
      <c r="G116" s="103"/>
      <c r="H116" s="1058"/>
      <c r="I116" s="684" t="str">
        <f t="shared" si="7"/>
        <v/>
      </c>
      <c r="J116" s="685">
        <f t="shared" si="8"/>
        <v>0</v>
      </c>
      <c r="K116" s="1254"/>
      <c r="L116" s="1253"/>
      <c r="M116" s="1259"/>
      <c r="N116" s="719"/>
      <c r="O116" s="720"/>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1"/>
        <v>0</v>
      </c>
      <c r="AQ116" s="42"/>
      <c r="AR116" s="42"/>
      <c r="AS116" s="42"/>
      <c r="AT116" s="43"/>
      <c r="AU116" s="687">
        <f t="shared" si="12"/>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9"/>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3"/>
        <v>0</v>
      </c>
      <c r="DO116" s="683"/>
    </row>
    <row r="117" spans="1:119" ht="25.5" customHeight="1" thickTop="1" thickBot="1" x14ac:dyDescent="0.25">
      <c r="A117" s="676">
        <f t="shared" si="10"/>
        <v>102</v>
      </c>
      <c r="B117" s="1054"/>
      <c r="C117" s="1054"/>
      <c r="D117" s="83"/>
      <c r="E117" s="954"/>
      <c r="F117" s="52"/>
      <c r="G117" s="103"/>
      <c r="H117" s="1058"/>
      <c r="I117" s="684" t="str">
        <f t="shared" si="7"/>
        <v/>
      </c>
      <c r="J117" s="685">
        <f t="shared" si="8"/>
        <v>0</v>
      </c>
      <c r="K117" s="1254"/>
      <c r="L117" s="1253"/>
      <c r="M117" s="1259"/>
      <c r="N117" s="719"/>
      <c r="O117" s="720"/>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1"/>
        <v>0</v>
      </c>
      <c r="AQ117" s="42"/>
      <c r="AR117" s="42"/>
      <c r="AS117" s="42"/>
      <c r="AT117" s="43"/>
      <c r="AU117" s="687">
        <f t="shared" si="12"/>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9"/>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3"/>
        <v>0</v>
      </c>
      <c r="DO117" s="683"/>
    </row>
    <row r="118" spans="1:119" ht="25.5" customHeight="1" thickTop="1" thickBot="1" x14ac:dyDescent="0.25">
      <c r="A118" s="676">
        <f t="shared" si="10"/>
        <v>103</v>
      </c>
      <c r="B118" s="1054"/>
      <c r="C118" s="1054"/>
      <c r="D118" s="83"/>
      <c r="E118" s="954"/>
      <c r="F118" s="52"/>
      <c r="G118" s="103"/>
      <c r="H118" s="1058"/>
      <c r="I118" s="684" t="str">
        <f t="shared" si="7"/>
        <v/>
      </c>
      <c r="J118" s="685">
        <f t="shared" si="8"/>
        <v>0</v>
      </c>
      <c r="K118" s="1254"/>
      <c r="L118" s="1253"/>
      <c r="M118" s="1259"/>
      <c r="N118" s="719"/>
      <c r="O118" s="720"/>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1"/>
        <v>0</v>
      </c>
      <c r="AQ118" s="42"/>
      <c r="AR118" s="42"/>
      <c r="AS118" s="42"/>
      <c r="AT118" s="43"/>
      <c r="AU118" s="687">
        <f t="shared" si="12"/>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9"/>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3"/>
        <v>0</v>
      </c>
      <c r="DO118" s="683"/>
    </row>
    <row r="119" spans="1:119" ht="25.5" customHeight="1" thickTop="1" thickBot="1" x14ac:dyDescent="0.25">
      <c r="A119" s="676">
        <f t="shared" si="10"/>
        <v>104</v>
      </c>
      <c r="B119" s="1054"/>
      <c r="C119" s="1054"/>
      <c r="D119" s="83"/>
      <c r="E119" s="954"/>
      <c r="F119" s="52"/>
      <c r="G119" s="103"/>
      <c r="H119" s="1058"/>
      <c r="I119" s="684" t="str">
        <f t="shared" si="7"/>
        <v/>
      </c>
      <c r="J119" s="685">
        <f t="shared" si="8"/>
        <v>0</v>
      </c>
      <c r="K119" s="1254"/>
      <c r="L119" s="1253"/>
      <c r="M119" s="1259"/>
      <c r="N119" s="719"/>
      <c r="O119" s="720"/>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1"/>
        <v>0</v>
      </c>
      <c r="AQ119" s="42"/>
      <c r="AR119" s="42"/>
      <c r="AS119" s="42"/>
      <c r="AT119" s="43"/>
      <c r="AU119" s="687">
        <f t="shared" si="12"/>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9"/>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3"/>
        <v>0</v>
      </c>
      <c r="DO119" s="683"/>
    </row>
    <row r="120" spans="1:119" ht="25.5" customHeight="1" thickTop="1" thickBot="1" x14ac:dyDescent="0.25">
      <c r="A120" s="676">
        <f t="shared" si="10"/>
        <v>105</v>
      </c>
      <c r="B120" s="1054"/>
      <c r="C120" s="1054"/>
      <c r="D120" s="83"/>
      <c r="E120" s="954"/>
      <c r="F120" s="52"/>
      <c r="G120" s="103"/>
      <c r="H120" s="1058"/>
      <c r="I120" s="684" t="str">
        <f t="shared" si="7"/>
        <v/>
      </c>
      <c r="J120" s="685">
        <f t="shared" si="8"/>
        <v>0</v>
      </c>
      <c r="K120" s="1254"/>
      <c r="L120" s="1253"/>
      <c r="M120" s="1259"/>
      <c r="N120" s="719"/>
      <c r="O120" s="720"/>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1"/>
        <v>0</v>
      </c>
      <c r="AQ120" s="42"/>
      <c r="AR120" s="42"/>
      <c r="AS120" s="42"/>
      <c r="AT120" s="43"/>
      <c r="AU120" s="687">
        <f t="shared" si="12"/>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9"/>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3"/>
        <v>0</v>
      </c>
      <c r="DO120" s="683"/>
    </row>
    <row r="121" spans="1:119" ht="25.5" customHeight="1" thickTop="1" thickBot="1" x14ac:dyDescent="0.25">
      <c r="A121" s="676">
        <f t="shared" si="10"/>
        <v>106</v>
      </c>
      <c r="B121" s="1054"/>
      <c r="C121" s="1054"/>
      <c r="D121" s="83"/>
      <c r="E121" s="954"/>
      <c r="F121" s="52"/>
      <c r="G121" s="103"/>
      <c r="H121" s="1058"/>
      <c r="I121" s="684" t="str">
        <f t="shared" si="7"/>
        <v/>
      </c>
      <c r="J121" s="685">
        <f t="shared" si="8"/>
        <v>0</v>
      </c>
      <c r="K121" s="1254"/>
      <c r="L121" s="1253"/>
      <c r="M121" s="1259"/>
      <c r="N121" s="719"/>
      <c r="O121" s="720"/>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1"/>
        <v>0</v>
      </c>
      <c r="AQ121" s="42"/>
      <c r="AR121" s="42"/>
      <c r="AS121" s="42"/>
      <c r="AT121" s="43"/>
      <c r="AU121" s="687">
        <f t="shared" si="12"/>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9"/>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3"/>
        <v>0</v>
      </c>
      <c r="DO121" s="683"/>
    </row>
    <row r="122" spans="1:119" ht="25.5" customHeight="1" thickTop="1" thickBot="1" x14ac:dyDescent="0.25">
      <c r="A122" s="676">
        <f t="shared" si="10"/>
        <v>107</v>
      </c>
      <c r="B122" s="1054"/>
      <c r="C122" s="1054"/>
      <c r="D122" s="83"/>
      <c r="E122" s="954"/>
      <c r="F122" s="52"/>
      <c r="G122" s="103"/>
      <c r="H122" s="1058"/>
      <c r="I122" s="684" t="str">
        <f t="shared" si="7"/>
        <v/>
      </c>
      <c r="J122" s="685">
        <f t="shared" si="8"/>
        <v>0</v>
      </c>
      <c r="K122" s="1254"/>
      <c r="L122" s="1253"/>
      <c r="M122" s="1259"/>
      <c r="N122" s="719"/>
      <c r="O122" s="720"/>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1"/>
        <v>0</v>
      </c>
      <c r="AQ122" s="42"/>
      <c r="AR122" s="42"/>
      <c r="AS122" s="42"/>
      <c r="AT122" s="43"/>
      <c r="AU122" s="687">
        <f t="shared" si="12"/>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9"/>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3"/>
        <v>0</v>
      </c>
      <c r="DO122" s="683"/>
    </row>
    <row r="123" spans="1:119" ht="25.5" customHeight="1" thickTop="1" thickBot="1" x14ac:dyDescent="0.25">
      <c r="A123" s="676">
        <f t="shared" si="10"/>
        <v>108</v>
      </c>
      <c r="B123" s="1054"/>
      <c r="C123" s="1054"/>
      <c r="D123" s="83"/>
      <c r="E123" s="954"/>
      <c r="F123" s="52"/>
      <c r="G123" s="103"/>
      <c r="H123" s="1058"/>
      <c r="I123" s="684" t="str">
        <f t="shared" si="7"/>
        <v/>
      </c>
      <c r="J123" s="685">
        <f t="shared" si="8"/>
        <v>0</v>
      </c>
      <c r="K123" s="1254"/>
      <c r="L123" s="1253"/>
      <c r="M123" s="1259"/>
      <c r="N123" s="719"/>
      <c r="O123" s="720"/>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1"/>
        <v>0</v>
      </c>
      <c r="AQ123" s="42"/>
      <c r="AR123" s="42"/>
      <c r="AS123" s="42"/>
      <c r="AT123" s="43"/>
      <c r="AU123" s="687">
        <f t="shared" si="12"/>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9"/>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3"/>
        <v>0</v>
      </c>
      <c r="DO123" s="683"/>
    </row>
    <row r="124" spans="1:119" ht="25.5" customHeight="1" thickTop="1" thickBot="1" x14ac:dyDescent="0.25">
      <c r="A124" s="676">
        <f t="shared" si="10"/>
        <v>109</v>
      </c>
      <c r="B124" s="1054"/>
      <c r="C124" s="1054"/>
      <c r="D124" s="83"/>
      <c r="E124" s="954"/>
      <c r="F124" s="52"/>
      <c r="G124" s="103"/>
      <c r="H124" s="1058"/>
      <c r="I124" s="684" t="str">
        <f t="shared" si="7"/>
        <v/>
      </c>
      <c r="J124" s="685">
        <f t="shared" si="8"/>
        <v>0</v>
      </c>
      <c r="K124" s="1254"/>
      <c r="L124" s="1253"/>
      <c r="M124" s="1259"/>
      <c r="N124" s="719"/>
      <c r="O124" s="720"/>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1"/>
        <v>0</v>
      </c>
      <c r="AQ124" s="42"/>
      <c r="AR124" s="42"/>
      <c r="AS124" s="42"/>
      <c r="AT124" s="43"/>
      <c r="AU124" s="687">
        <f t="shared" si="12"/>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9"/>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3"/>
        <v>0</v>
      </c>
      <c r="DO124" s="683"/>
    </row>
    <row r="125" spans="1:119" ht="25.5" customHeight="1" thickTop="1" thickBot="1" x14ac:dyDescent="0.25">
      <c r="A125" s="676">
        <f t="shared" si="10"/>
        <v>110</v>
      </c>
      <c r="B125" s="1054"/>
      <c r="C125" s="1054"/>
      <c r="D125" s="83"/>
      <c r="E125" s="954"/>
      <c r="F125" s="52"/>
      <c r="G125" s="103"/>
      <c r="H125" s="1058"/>
      <c r="I125" s="684" t="str">
        <f t="shared" si="7"/>
        <v/>
      </c>
      <c r="J125" s="685">
        <f t="shared" si="8"/>
        <v>0</v>
      </c>
      <c r="K125" s="1254"/>
      <c r="L125" s="1253"/>
      <c r="M125" s="1259"/>
      <c r="N125" s="719"/>
      <c r="O125" s="720"/>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1"/>
        <v>0</v>
      </c>
      <c r="AQ125" s="42"/>
      <c r="AR125" s="42"/>
      <c r="AS125" s="42"/>
      <c r="AT125" s="43"/>
      <c r="AU125" s="687">
        <f t="shared" si="12"/>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9"/>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3"/>
        <v>0</v>
      </c>
      <c r="DO125" s="683"/>
    </row>
    <row r="126" spans="1:119" ht="25.5" customHeight="1" thickTop="1" thickBot="1" x14ac:dyDescent="0.25">
      <c r="A126" s="676">
        <f t="shared" si="10"/>
        <v>111</v>
      </c>
      <c r="B126" s="1054"/>
      <c r="C126" s="1054"/>
      <c r="D126" s="83"/>
      <c r="E126" s="954"/>
      <c r="F126" s="52"/>
      <c r="G126" s="103"/>
      <c r="H126" s="1058"/>
      <c r="I126" s="684" t="str">
        <f t="shared" si="7"/>
        <v/>
      </c>
      <c r="J126" s="685">
        <f t="shared" si="8"/>
        <v>0</v>
      </c>
      <c r="K126" s="1254"/>
      <c r="L126" s="1253"/>
      <c r="M126" s="1259"/>
      <c r="N126" s="719"/>
      <c r="O126" s="720"/>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1"/>
        <v>0</v>
      </c>
      <c r="AQ126" s="42"/>
      <c r="AR126" s="42"/>
      <c r="AS126" s="42"/>
      <c r="AT126" s="43"/>
      <c r="AU126" s="687">
        <f t="shared" si="12"/>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9"/>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3"/>
        <v>0</v>
      </c>
      <c r="DO126" s="683"/>
    </row>
    <row r="127" spans="1:119" ht="25.5" customHeight="1" thickTop="1" thickBot="1" x14ac:dyDescent="0.25">
      <c r="A127" s="676">
        <f t="shared" si="10"/>
        <v>112</v>
      </c>
      <c r="B127" s="1054"/>
      <c r="C127" s="1054"/>
      <c r="D127" s="83"/>
      <c r="E127" s="954"/>
      <c r="F127" s="52"/>
      <c r="G127" s="103"/>
      <c r="H127" s="1058"/>
      <c r="I127" s="684" t="str">
        <f t="shared" si="7"/>
        <v/>
      </c>
      <c r="J127" s="685">
        <f t="shared" si="8"/>
        <v>0</v>
      </c>
      <c r="K127" s="1254"/>
      <c r="L127" s="1253"/>
      <c r="M127" s="1259"/>
      <c r="N127" s="719"/>
      <c r="O127" s="720"/>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1"/>
        <v>0</v>
      </c>
      <c r="AQ127" s="42"/>
      <c r="AR127" s="42"/>
      <c r="AS127" s="42"/>
      <c r="AT127" s="43"/>
      <c r="AU127" s="687">
        <f t="shared" si="12"/>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9"/>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3"/>
        <v>0</v>
      </c>
      <c r="DO127" s="683"/>
    </row>
    <row r="128" spans="1:119" ht="25.5" customHeight="1" thickTop="1" thickBot="1" x14ac:dyDescent="0.25">
      <c r="A128" s="676">
        <f t="shared" si="10"/>
        <v>113</v>
      </c>
      <c r="B128" s="1054"/>
      <c r="C128" s="1054"/>
      <c r="D128" s="83"/>
      <c r="E128" s="954"/>
      <c r="F128" s="52"/>
      <c r="G128" s="103"/>
      <c r="H128" s="1058"/>
      <c r="I128" s="684" t="str">
        <f t="shared" si="7"/>
        <v/>
      </c>
      <c r="J128" s="685">
        <f t="shared" si="8"/>
        <v>0</v>
      </c>
      <c r="K128" s="1254"/>
      <c r="L128" s="1253"/>
      <c r="M128" s="1259"/>
      <c r="N128" s="719"/>
      <c r="O128" s="720"/>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1"/>
        <v>0</v>
      </c>
      <c r="AQ128" s="42"/>
      <c r="AR128" s="42"/>
      <c r="AS128" s="42"/>
      <c r="AT128" s="43"/>
      <c r="AU128" s="687">
        <f t="shared" si="12"/>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9"/>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3"/>
        <v>0</v>
      </c>
      <c r="DO128" s="683"/>
    </row>
    <row r="129" spans="1:119" ht="25.5" customHeight="1" thickTop="1" thickBot="1" x14ac:dyDescent="0.25">
      <c r="A129" s="676">
        <f t="shared" si="10"/>
        <v>114</v>
      </c>
      <c r="B129" s="1054"/>
      <c r="C129" s="1054"/>
      <c r="D129" s="83"/>
      <c r="E129" s="954"/>
      <c r="F129" s="52"/>
      <c r="G129" s="103"/>
      <c r="H129" s="1058"/>
      <c r="I129" s="684" t="str">
        <f t="shared" si="7"/>
        <v/>
      </c>
      <c r="J129" s="685">
        <f t="shared" si="8"/>
        <v>0</v>
      </c>
      <c r="K129" s="1254"/>
      <c r="L129" s="1253"/>
      <c r="M129" s="1259"/>
      <c r="N129" s="719"/>
      <c r="O129" s="720"/>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1"/>
        <v>0</v>
      </c>
      <c r="AQ129" s="42"/>
      <c r="AR129" s="42"/>
      <c r="AS129" s="42"/>
      <c r="AT129" s="43"/>
      <c r="AU129" s="687">
        <f t="shared" si="12"/>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9"/>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3"/>
        <v>0</v>
      </c>
      <c r="DO129" s="683"/>
    </row>
    <row r="130" spans="1:119" ht="25.5" customHeight="1" thickTop="1" thickBot="1" x14ac:dyDescent="0.25">
      <c r="A130" s="676">
        <f t="shared" si="10"/>
        <v>115</v>
      </c>
      <c r="B130" s="1054"/>
      <c r="C130" s="1054"/>
      <c r="D130" s="83"/>
      <c r="E130" s="954"/>
      <c r="F130" s="52"/>
      <c r="G130" s="103"/>
      <c r="H130" s="1058"/>
      <c r="I130" s="684" t="str">
        <f t="shared" si="7"/>
        <v/>
      </c>
      <c r="J130" s="685">
        <f t="shared" si="8"/>
        <v>0</v>
      </c>
      <c r="K130" s="1254"/>
      <c r="L130" s="1253"/>
      <c r="M130" s="1259"/>
      <c r="N130" s="719"/>
      <c r="O130" s="720"/>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1"/>
        <v>0</v>
      </c>
      <c r="AQ130" s="42"/>
      <c r="AR130" s="42"/>
      <c r="AS130" s="42"/>
      <c r="AT130" s="43"/>
      <c r="AU130" s="687">
        <f t="shared" si="12"/>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9"/>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3"/>
        <v>0</v>
      </c>
      <c r="DO130" s="683"/>
    </row>
    <row r="131" spans="1:119" ht="25.5" customHeight="1" thickTop="1" thickBot="1" x14ac:dyDescent="0.25">
      <c r="A131" s="676">
        <f t="shared" si="10"/>
        <v>116</v>
      </c>
      <c r="B131" s="1054"/>
      <c r="C131" s="1054"/>
      <c r="D131" s="83"/>
      <c r="E131" s="954"/>
      <c r="F131" s="52"/>
      <c r="G131" s="103"/>
      <c r="H131" s="1058"/>
      <c r="I131" s="684" t="str">
        <f t="shared" si="7"/>
        <v/>
      </c>
      <c r="J131" s="685">
        <f t="shared" si="8"/>
        <v>0</v>
      </c>
      <c r="K131" s="1254"/>
      <c r="L131" s="1253"/>
      <c r="M131" s="1259"/>
      <c r="N131" s="719"/>
      <c r="O131" s="720"/>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1"/>
        <v>0</v>
      </c>
      <c r="AQ131" s="42"/>
      <c r="AR131" s="42"/>
      <c r="AS131" s="42"/>
      <c r="AT131" s="43"/>
      <c r="AU131" s="687">
        <f t="shared" si="12"/>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9"/>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3"/>
        <v>0</v>
      </c>
      <c r="DO131" s="683"/>
    </row>
    <row r="132" spans="1:119" ht="25.5" customHeight="1" thickTop="1" thickBot="1" x14ac:dyDescent="0.25">
      <c r="A132" s="676">
        <f t="shared" si="10"/>
        <v>117</v>
      </c>
      <c r="B132" s="1054"/>
      <c r="C132" s="1054"/>
      <c r="D132" s="83"/>
      <c r="E132" s="954"/>
      <c r="F132" s="52"/>
      <c r="G132" s="103"/>
      <c r="H132" s="1058"/>
      <c r="I132" s="684" t="str">
        <f t="shared" si="7"/>
        <v/>
      </c>
      <c r="J132" s="685">
        <f t="shared" si="8"/>
        <v>0</v>
      </c>
      <c r="K132" s="1254"/>
      <c r="L132" s="1253"/>
      <c r="M132" s="1259"/>
      <c r="N132" s="719"/>
      <c r="O132" s="720"/>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1"/>
        <v>0</v>
      </c>
      <c r="AQ132" s="42"/>
      <c r="AR132" s="42"/>
      <c r="AS132" s="42"/>
      <c r="AT132" s="43"/>
      <c r="AU132" s="687">
        <f t="shared" si="12"/>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9"/>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3"/>
        <v>0</v>
      </c>
      <c r="DO132" s="683"/>
    </row>
    <row r="133" spans="1:119" ht="25.5" customHeight="1" thickTop="1" thickBot="1" x14ac:dyDescent="0.25">
      <c r="A133" s="676">
        <f t="shared" si="10"/>
        <v>118</v>
      </c>
      <c r="B133" s="1054"/>
      <c r="C133" s="1054"/>
      <c r="D133" s="83"/>
      <c r="E133" s="954"/>
      <c r="F133" s="52"/>
      <c r="G133" s="103"/>
      <c r="H133" s="1058"/>
      <c r="I133" s="684" t="str">
        <f t="shared" si="7"/>
        <v/>
      </c>
      <c r="J133" s="685">
        <f t="shared" si="8"/>
        <v>0</v>
      </c>
      <c r="K133" s="1254"/>
      <c r="L133" s="1253"/>
      <c r="M133" s="1259"/>
      <c r="N133" s="719"/>
      <c r="O133" s="720"/>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1"/>
        <v>0</v>
      </c>
      <c r="AQ133" s="42"/>
      <c r="AR133" s="42"/>
      <c r="AS133" s="42"/>
      <c r="AT133" s="43"/>
      <c r="AU133" s="687">
        <f t="shared" si="12"/>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9"/>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3"/>
        <v>0</v>
      </c>
      <c r="DO133" s="683"/>
    </row>
    <row r="134" spans="1:119" ht="25.5" customHeight="1" thickTop="1" thickBot="1" x14ac:dyDescent="0.25">
      <c r="A134" s="676">
        <f t="shared" si="10"/>
        <v>119</v>
      </c>
      <c r="B134" s="1054"/>
      <c r="C134" s="1054"/>
      <c r="D134" s="83"/>
      <c r="E134" s="954"/>
      <c r="F134" s="52"/>
      <c r="G134" s="103"/>
      <c r="H134" s="1058"/>
      <c r="I134" s="684" t="str">
        <f t="shared" si="7"/>
        <v/>
      </c>
      <c r="J134" s="685">
        <f t="shared" si="8"/>
        <v>0</v>
      </c>
      <c r="K134" s="1254"/>
      <c r="L134" s="1253"/>
      <c r="M134" s="1259"/>
      <c r="N134" s="719"/>
      <c r="O134" s="720"/>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1"/>
        <v>0</v>
      </c>
      <c r="AQ134" s="42"/>
      <c r="AR134" s="42"/>
      <c r="AS134" s="42"/>
      <c r="AT134" s="43"/>
      <c r="AU134" s="687">
        <f t="shared" si="12"/>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9"/>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3"/>
        <v>0</v>
      </c>
      <c r="DO134" s="683"/>
    </row>
    <row r="135" spans="1:119" ht="25.5" customHeight="1" thickTop="1" thickBot="1" x14ac:dyDescent="0.25">
      <c r="A135" s="676">
        <f t="shared" si="10"/>
        <v>120</v>
      </c>
      <c r="B135" s="1054"/>
      <c r="C135" s="1054"/>
      <c r="D135" s="83"/>
      <c r="E135" s="954"/>
      <c r="F135" s="52"/>
      <c r="G135" s="103"/>
      <c r="H135" s="1058"/>
      <c r="I135" s="684" t="str">
        <f t="shared" si="7"/>
        <v/>
      </c>
      <c r="J135" s="685">
        <f t="shared" si="8"/>
        <v>0</v>
      </c>
      <c r="K135" s="1254"/>
      <c r="L135" s="1253"/>
      <c r="M135" s="1259"/>
      <c r="N135" s="719"/>
      <c r="O135" s="720"/>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1"/>
        <v>0</v>
      </c>
      <c r="AQ135" s="42"/>
      <c r="AR135" s="42"/>
      <c r="AS135" s="42"/>
      <c r="AT135" s="43"/>
      <c r="AU135" s="687">
        <f t="shared" si="12"/>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9"/>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3"/>
        <v>0</v>
      </c>
      <c r="DO135" s="683"/>
    </row>
    <row r="136" spans="1:119" ht="25.5" customHeight="1" thickTop="1" thickBot="1" x14ac:dyDescent="0.25">
      <c r="A136" s="676">
        <f t="shared" si="10"/>
        <v>121</v>
      </c>
      <c r="B136" s="1054"/>
      <c r="C136" s="1054"/>
      <c r="D136" s="83"/>
      <c r="E136" s="954"/>
      <c r="F136" s="52"/>
      <c r="G136" s="103"/>
      <c r="H136" s="1058"/>
      <c r="I136" s="684" t="str">
        <f t="shared" si="7"/>
        <v/>
      </c>
      <c r="J136" s="685">
        <f t="shared" si="8"/>
        <v>0</v>
      </c>
      <c r="K136" s="1254"/>
      <c r="L136" s="1253"/>
      <c r="M136" s="1259"/>
      <c r="N136" s="719"/>
      <c r="O136" s="720"/>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1"/>
        <v>0</v>
      </c>
      <c r="AQ136" s="42"/>
      <c r="AR136" s="42"/>
      <c r="AS136" s="42"/>
      <c r="AT136" s="43"/>
      <c r="AU136" s="687">
        <f t="shared" si="12"/>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9"/>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3"/>
        <v>0</v>
      </c>
      <c r="DO136" s="683"/>
    </row>
    <row r="137" spans="1:119" ht="25.5" customHeight="1" thickTop="1" thickBot="1" x14ac:dyDescent="0.25">
      <c r="A137" s="676">
        <f t="shared" si="10"/>
        <v>122</v>
      </c>
      <c r="B137" s="1054"/>
      <c r="C137" s="1054"/>
      <c r="D137" s="83"/>
      <c r="E137" s="954"/>
      <c r="F137" s="52"/>
      <c r="G137" s="103"/>
      <c r="H137" s="1058"/>
      <c r="I137" s="684" t="str">
        <f t="shared" si="7"/>
        <v/>
      </c>
      <c r="J137" s="685">
        <f t="shared" si="8"/>
        <v>0</v>
      </c>
      <c r="K137" s="1254"/>
      <c r="L137" s="1253"/>
      <c r="M137" s="1259"/>
      <c r="N137" s="719"/>
      <c r="O137" s="720"/>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1"/>
        <v>0</v>
      </c>
      <c r="AQ137" s="42"/>
      <c r="AR137" s="42"/>
      <c r="AS137" s="42"/>
      <c r="AT137" s="43"/>
      <c r="AU137" s="687">
        <f t="shared" si="12"/>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9"/>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3"/>
        <v>0</v>
      </c>
      <c r="DO137" s="683"/>
    </row>
    <row r="138" spans="1:119" ht="25.5" customHeight="1" thickTop="1" thickBot="1" x14ac:dyDescent="0.25">
      <c r="A138" s="676">
        <f t="shared" si="10"/>
        <v>123</v>
      </c>
      <c r="B138" s="1054"/>
      <c r="C138" s="1054"/>
      <c r="D138" s="83"/>
      <c r="E138" s="954"/>
      <c r="F138" s="52"/>
      <c r="G138" s="103"/>
      <c r="H138" s="1058"/>
      <c r="I138" s="684" t="str">
        <f t="shared" si="7"/>
        <v/>
      </c>
      <c r="J138" s="685">
        <f t="shared" si="8"/>
        <v>0</v>
      </c>
      <c r="K138" s="1254"/>
      <c r="L138" s="1253"/>
      <c r="M138" s="1259"/>
      <c r="N138" s="719"/>
      <c r="O138" s="720"/>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1"/>
        <v>0</v>
      </c>
      <c r="AQ138" s="42"/>
      <c r="AR138" s="42"/>
      <c r="AS138" s="42"/>
      <c r="AT138" s="43"/>
      <c r="AU138" s="687">
        <f t="shared" si="12"/>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9"/>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3"/>
        <v>0</v>
      </c>
      <c r="DO138" s="683"/>
    </row>
    <row r="139" spans="1:119" ht="25.5" customHeight="1" thickTop="1" thickBot="1" x14ac:dyDescent="0.25">
      <c r="A139" s="676">
        <f t="shared" si="10"/>
        <v>124</v>
      </c>
      <c r="B139" s="1054"/>
      <c r="C139" s="1054"/>
      <c r="D139" s="83"/>
      <c r="E139" s="954"/>
      <c r="F139" s="52"/>
      <c r="G139" s="103"/>
      <c r="H139" s="1058"/>
      <c r="I139" s="684" t="str">
        <f t="shared" si="7"/>
        <v/>
      </c>
      <c r="J139" s="685">
        <f t="shared" si="8"/>
        <v>0</v>
      </c>
      <c r="K139" s="1254"/>
      <c r="L139" s="1253"/>
      <c r="M139" s="1259"/>
      <c r="N139" s="719"/>
      <c r="O139" s="720"/>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1"/>
        <v>0</v>
      </c>
      <c r="AQ139" s="42"/>
      <c r="AR139" s="42"/>
      <c r="AS139" s="42"/>
      <c r="AT139" s="43"/>
      <c r="AU139" s="687">
        <f t="shared" si="12"/>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9"/>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3"/>
        <v>0</v>
      </c>
      <c r="DO139" s="683"/>
    </row>
    <row r="140" spans="1:119" ht="25.5" customHeight="1" thickTop="1" thickBot="1" x14ac:dyDescent="0.25">
      <c r="A140" s="676">
        <f t="shared" si="10"/>
        <v>125</v>
      </c>
      <c r="B140" s="1054"/>
      <c r="C140" s="1054"/>
      <c r="D140" s="83"/>
      <c r="E140" s="954"/>
      <c r="F140" s="52"/>
      <c r="G140" s="103"/>
      <c r="H140" s="1058"/>
      <c r="I140" s="684" t="str">
        <f t="shared" si="7"/>
        <v/>
      </c>
      <c r="J140" s="685">
        <f t="shared" si="8"/>
        <v>0</v>
      </c>
      <c r="K140" s="1254"/>
      <c r="L140" s="1253"/>
      <c r="M140" s="1259"/>
      <c r="N140" s="719"/>
      <c r="O140" s="720"/>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1"/>
        <v>0</v>
      </c>
      <c r="AQ140" s="42"/>
      <c r="AR140" s="42"/>
      <c r="AS140" s="42"/>
      <c r="AT140" s="43"/>
      <c r="AU140" s="687">
        <f t="shared" si="12"/>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9"/>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3"/>
        <v>0</v>
      </c>
      <c r="DO140" s="683"/>
    </row>
    <row r="141" spans="1:119" ht="25.5" customHeight="1" thickTop="1" thickBot="1" x14ac:dyDescent="0.25">
      <c r="A141" s="676">
        <f t="shared" si="10"/>
        <v>126</v>
      </c>
      <c r="B141" s="1054"/>
      <c r="C141" s="1054"/>
      <c r="D141" s="83"/>
      <c r="E141" s="954"/>
      <c r="F141" s="52"/>
      <c r="G141" s="103"/>
      <c r="H141" s="1058"/>
      <c r="I141" s="684" t="str">
        <f t="shared" si="7"/>
        <v/>
      </c>
      <c r="J141" s="685">
        <f t="shared" si="8"/>
        <v>0</v>
      </c>
      <c r="K141" s="1254"/>
      <c r="L141" s="1253"/>
      <c r="M141" s="1259"/>
      <c r="N141" s="719"/>
      <c r="O141" s="720"/>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1"/>
        <v>0</v>
      </c>
      <c r="AQ141" s="42"/>
      <c r="AR141" s="42"/>
      <c r="AS141" s="42"/>
      <c r="AT141" s="43"/>
      <c r="AU141" s="687">
        <f t="shared" si="12"/>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9"/>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3"/>
        <v>0</v>
      </c>
      <c r="DO141" s="683"/>
    </row>
    <row r="142" spans="1:119" ht="25.5" customHeight="1" thickTop="1" thickBot="1" x14ac:dyDescent="0.25">
      <c r="A142" s="676">
        <f t="shared" si="10"/>
        <v>127</v>
      </c>
      <c r="B142" s="1054"/>
      <c r="C142" s="1054"/>
      <c r="D142" s="83"/>
      <c r="E142" s="954"/>
      <c r="F142" s="52"/>
      <c r="G142" s="103"/>
      <c r="H142" s="1058"/>
      <c r="I142" s="684" t="str">
        <f t="shared" si="7"/>
        <v/>
      </c>
      <c r="J142" s="685">
        <f t="shared" si="8"/>
        <v>0</v>
      </c>
      <c r="K142" s="1254"/>
      <c r="L142" s="1253"/>
      <c r="M142" s="1259"/>
      <c r="N142" s="719"/>
      <c r="O142" s="720"/>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1"/>
        <v>0</v>
      </c>
      <c r="AQ142" s="42"/>
      <c r="AR142" s="42"/>
      <c r="AS142" s="42"/>
      <c r="AT142" s="43"/>
      <c r="AU142" s="687">
        <f t="shared" si="12"/>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9"/>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3"/>
        <v>0</v>
      </c>
      <c r="DO142" s="683"/>
    </row>
    <row r="143" spans="1:119" ht="25.5" customHeight="1" thickTop="1" thickBot="1" x14ac:dyDescent="0.25">
      <c r="A143" s="676">
        <f t="shared" si="10"/>
        <v>128</v>
      </c>
      <c r="B143" s="1054"/>
      <c r="C143" s="1054"/>
      <c r="D143" s="83"/>
      <c r="E143" s="954"/>
      <c r="F143" s="52"/>
      <c r="G143" s="103"/>
      <c r="H143" s="1058"/>
      <c r="I143" s="684" t="str">
        <f t="shared" si="7"/>
        <v/>
      </c>
      <c r="J143" s="685">
        <f t="shared" si="8"/>
        <v>0</v>
      </c>
      <c r="K143" s="1254"/>
      <c r="L143" s="1253"/>
      <c r="M143" s="1259"/>
      <c r="N143" s="719"/>
      <c r="O143" s="720"/>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1"/>
        <v>0</v>
      </c>
      <c r="AQ143" s="42"/>
      <c r="AR143" s="42"/>
      <c r="AS143" s="42"/>
      <c r="AT143" s="43"/>
      <c r="AU143" s="687">
        <f t="shared" si="12"/>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9"/>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3"/>
        <v>0</v>
      </c>
      <c r="DO143" s="683"/>
    </row>
    <row r="144" spans="1:119" ht="25.5" customHeight="1" thickTop="1" thickBot="1" x14ac:dyDescent="0.25">
      <c r="A144" s="676">
        <f t="shared" si="10"/>
        <v>129</v>
      </c>
      <c r="B144" s="1054"/>
      <c r="C144" s="1054"/>
      <c r="D144" s="83"/>
      <c r="E144" s="954"/>
      <c r="F144" s="52"/>
      <c r="G144" s="103"/>
      <c r="H144" s="1058"/>
      <c r="I144" s="684" t="str">
        <f t="shared" ref="I144:I207" si="14">LEFT(H144,4)</f>
        <v/>
      </c>
      <c r="J144" s="685">
        <f t="shared" ref="J144:J207" si="15">G144-DN144</f>
        <v>0</v>
      </c>
      <c r="K144" s="1254"/>
      <c r="L144" s="1253"/>
      <c r="M144" s="1259"/>
      <c r="N144" s="719"/>
      <c r="O144" s="720"/>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1"/>
        <v>0</v>
      </c>
      <c r="AQ144" s="42"/>
      <c r="AR144" s="42"/>
      <c r="AS144" s="42"/>
      <c r="AT144" s="43"/>
      <c r="AU144" s="687">
        <f t="shared" si="12"/>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6">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3"/>
        <v>0</v>
      </c>
      <c r="DO144" s="683"/>
    </row>
    <row r="145" spans="1:119" ht="25.5" customHeight="1" thickTop="1" thickBot="1" x14ac:dyDescent="0.25">
      <c r="A145" s="676">
        <f t="shared" ref="A145:A208" si="17">$A144+1</f>
        <v>130</v>
      </c>
      <c r="B145" s="1054"/>
      <c r="C145" s="1054"/>
      <c r="D145" s="83"/>
      <c r="E145" s="954"/>
      <c r="F145" s="52"/>
      <c r="G145" s="103"/>
      <c r="H145" s="1058"/>
      <c r="I145" s="684" t="str">
        <f t="shared" si="14"/>
        <v/>
      </c>
      <c r="J145" s="685">
        <f t="shared" si="15"/>
        <v>0</v>
      </c>
      <c r="K145" s="1254"/>
      <c r="L145" s="1253"/>
      <c r="M145" s="1259"/>
      <c r="N145" s="719"/>
      <c r="O145" s="720"/>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18">SUM(AQ145:AT145)</f>
        <v>0</v>
      </c>
      <c r="AQ145" s="42"/>
      <c r="AR145" s="42"/>
      <c r="AS145" s="42"/>
      <c r="AT145" s="43"/>
      <c r="AU145" s="687">
        <f t="shared" ref="AU145:AU208" si="19">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6"/>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0">SUM(P145:AP145,AU145,AZ145:BW145,CE145:DM145)</f>
        <v>0</v>
      </c>
      <c r="DO145" s="683"/>
    </row>
    <row r="146" spans="1:119" ht="25.5" customHeight="1" thickTop="1" thickBot="1" x14ac:dyDescent="0.25">
      <c r="A146" s="676">
        <f t="shared" si="17"/>
        <v>131</v>
      </c>
      <c r="B146" s="1054"/>
      <c r="C146" s="1054"/>
      <c r="D146" s="83"/>
      <c r="E146" s="954"/>
      <c r="F146" s="52"/>
      <c r="G146" s="103"/>
      <c r="H146" s="1058"/>
      <c r="I146" s="684" t="str">
        <f t="shared" si="14"/>
        <v/>
      </c>
      <c r="J146" s="685">
        <f t="shared" si="15"/>
        <v>0</v>
      </c>
      <c r="K146" s="1254"/>
      <c r="L146" s="1253"/>
      <c r="M146" s="1259"/>
      <c r="N146" s="719"/>
      <c r="O146" s="720"/>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18"/>
        <v>0</v>
      </c>
      <c r="AQ146" s="42"/>
      <c r="AR146" s="42"/>
      <c r="AS146" s="42"/>
      <c r="AT146" s="43"/>
      <c r="AU146" s="687">
        <f t="shared" si="19"/>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6"/>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0"/>
        <v>0</v>
      </c>
      <c r="DO146" s="683"/>
    </row>
    <row r="147" spans="1:119" ht="25.5" customHeight="1" thickTop="1" thickBot="1" x14ac:dyDescent="0.25">
      <c r="A147" s="676">
        <f t="shared" si="17"/>
        <v>132</v>
      </c>
      <c r="B147" s="1054"/>
      <c r="C147" s="1054"/>
      <c r="D147" s="83"/>
      <c r="E147" s="954"/>
      <c r="F147" s="52"/>
      <c r="G147" s="103"/>
      <c r="H147" s="1058"/>
      <c r="I147" s="684" t="str">
        <f t="shared" si="14"/>
        <v/>
      </c>
      <c r="J147" s="685">
        <f t="shared" si="15"/>
        <v>0</v>
      </c>
      <c r="K147" s="1254"/>
      <c r="L147" s="1253"/>
      <c r="M147" s="1259"/>
      <c r="N147" s="719"/>
      <c r="O147" s="720"/>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18"/>
        <v>0</v>
      </c>
      <c r="AQ147" s="42"/>
      <c r="AR147" s="42"/>
      <c r="AS147" s="42"/>
      <c r="AT147" s="43"/>
      <c r="AU147" s="687">
        <f t="shared" si="19"/>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6"/>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0"/>
        <v>0</v>
      </c>
      <c r="DO147" s="683"/>
    </row>
    <row r="148" spans="1:119" ht="25.5" customHeight="1" thickTop="1" thickBot="1" x14ac:dyDescent="0.25">
      <c r="A148" s="676">
        <f t="shared" si="17"/>
        <v>133</v>
      </c>
      <c r="B148" s="1054"/>
      <c r="C148" s="1054"/>
      <c r="D148" s="83"/>
      <c r="E148" s="954"/>
      <c r="F148" s="52"/>
      <c r="G148" s="103"/>
      <c r="H148" s="1058"/>
      <c r="I148" s="684" t="str">
        <f t="shared" si="14"/>
        <v/>
      </c>
      <c r="J148" s="685">
        <f t="shared" si="15"/>
        <v>0</v>
      </c>
      <c r="K148" s="1254"/>
      <c r="L148" s="1253"/>
      <c r="M148" s="1259"/>
      <c r="N148" s="719"/>
      <c r="O148" s="720"/>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18"/>
        <v>0</v>
      </c>
      <c r="AQ148" s="42"/>
      <c r="AR148" s="42"/>
      <c r="AS148" s="42"/>
      <c r="AT148" s="43"/>
      <c r="AU148" s="687">
        <f t="shared" si="19"/>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6"/>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0"/>
        <v>0</v>
      </c>
      <c r="DO148" s="683"/>
    </row>
    <row r="149" spans="1:119" ht="25.5" customHeight="1" thickTop="1" thickBot="1" x14ac:dyDescent="0.25">
      <c r="A149" s="676">
        <f t="shared" si="17"/>
        <v>134</v>
      </c>
      <c r="B149" s="1054"/>
      <c r="C149" s="1054"/>
      <c r="D149" s="83"/>
      <c r="E149" s="954"/>
      <c r="F149" s="52"/>
      <c r="G149" s="103"/>
      <c r="H149" s="1058"/>
      <c r="I149" s="684" t="str">
        <f t="shared" si="14"/>
        <v/>
      </c>
      <c r="J149" s="685">
        <f t="shared" si="15"/>
        <v>0</v>
      </c>
      <c r="K149" s="1254"/>
      <c r="L149" s="1253"/>
      <c r="M149" s="1259"/>
      <c r="N149" s="719"/>
      <c r="O149" s="720"/>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18"/>
        <v>0</v>
      </c>
      <c r="AQ149" s="42"/>
      <c r="AR149" s="42"/>
      <c r="AS149" s="42"/>
      <c r="AT149" s="43"/>
      <c r="AU149" s="687">
        <f t="shared" si="19"/>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6"/>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0"/>
        <v>0</v>
      </c>
      <c r="DO149" s="683"/>
    </row>
    <row r="150" spans="1:119" ht="25.5" customHeight="1" thickTop="1" thickBot="1" x14ac:dyDescent="0.25">
      <c r="A150" s="676">
        <f t="shared" si="17"/>
        <v>135</v>
      </c>
      <c r="B150" s="1054"/>
      <c r="C150" s="1054"/>
      <c r="D150" s="83"/>
      <c r="E150" s="954"/>
      <c r="F150" s="52"/>
      <c r="G150" s="103"/>
      <c r="H150" s="1058"/>
      <c r="I150" s="684" t="str">
        <f t="shared" si="14"/>
        <v/>
      </c>
      <c r="J150" s="685">
        <f t="shared" si="15"/>
        <v>0</v>
      </c>
      <c r="K150" s="1254"/>
      <c r="L150" s="1253"/>
      <c r="M150" s="1259"/>
      <c r="N150" s="719"/>
      <c r="O150" s="720"/>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18"/>
        <v>0</v>
      </c>
      <c r="AQ150" s="42"/>
      <c r="AR150" s="42"/>
      <c r="AS150" s="42"/>
      <c r="AT150" s="43"/>
      <c r="AU150" s="687">
        <f t="shared" si="19"/>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6"/>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0"/>
        <v>0</v>
      </c>
      <c r="DO150" s="683"/>
    </row>
    <row r="151" spans="1:119" ht="25.5" customHeight="1" thickTop="1" thickBot="1" x14ac:dyDescent="0.25">
      <c r="A151" s="676">
        <f t="shared" si="17"/>
        <v>136</v>
      </c>
      <c r="B151" s="1054"/>
      <c r="C151" s="1054"/>
      <c r="D151" s="83"/>
      <c r="E151" s="954"/>
      <c r="F151" s="52"/>
      <c r="G151" s="103"/>
      <c r="H151" s="1058"/>
      <c r="I151" s="684" t="str">
        <f t="shared" si="14"/>
        <v/>
      </c>
      <c r="J151" s="685">
        <f t="shared" si="15"/>
        <v>0</v>
      </c>
      <c r="K151" s="1254"/>
      <c r="L151" s="1253"/>
      <c r="M151" s="1259"/>
      <c r="N151" s="719"/>
      <c r="O151" s="720"/>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18"/>
        <v>0</v>
      </c>
      <c r="AQ151" s="42"/>
      <c r="AR151" s="42"/>
      <c r="AS151" s="42"/>
      <c r="AT151" s="43"/>
      <c r="AU151" s="687">
        <f t="shared" si="19"/>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6"/>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0"/>
        <v>0</v>
      </c>
      <c r="DO151" s="683"/>
    </row>
    <row r="152" spans="1:119" ht="25.5" customHeight="1" thickTop="1" thickBot="1" x14ac:dyDescent="0.25">
      <c r="A152" s="676">
        <f t="shared" si="17"/>
        <v>137</v>
      </c>
      <c r="B152" s="1054"/>
      <c r="C152" s="1054"/>
      <c r="D152" s="83"/>
      <c r="E152" s="954"/>
      <c r="F152" s="52"/>
      <c r="G152" s="103"/>
      <c r="H152" s="1058"/>
      <c r="I152" s="684" t="str">
        <f t="shared" si="14"/>
        <v/>
      </c>
      <c r="J152" s="685">
        <f t="shared" si="15"/>
        <v>0</v>
      </c>
      <c r="K152" s="1254"/>
      <c r="L152" s="1253"/>
      <c r="M152" s="1259"/>
      <c r="N152" s="719"/>
      <c r="O152" s="720"/>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18"/>
        <v>0</v>
      </c>
      <c r="AQ152" s="42"/>
      <c r="AR152" s="42"/>
      <c r="AS152" s="42"/>
      <c r="AT152" s="43"/>
      <c r="AU152" s="687">
        <f t="shared" si="19"/>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6"/>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0"/>
        <v>0</v>
      </c>
      <c r="DO152" s="683"/>
    </row>
    <row r="153" spans="1:119" ht="25.5" customHeight="1" thickTop="1" thickBot="1" x14ac:dyDescent="0.25">
      <c r="A153" s="676">
        <f t="shared" si="17"/>
        <v>138</v>
      </c>
      <c r="B153" s="1054"/>
      <c r="C153" s="1054"/>
      <c r="D153" s="83"/>
      <c r="E153" s="954"/>
      <c r="F153" s="52"/>
      <c r="G153" s="103"/>
      <c r="H153" s="1058"/>
      <c r="I153" s="684" t="str">
        <f t="shared" si="14"/>
        <v/>
      </c>
      <c r="J153" s="685">
        <f t="shared" si="15"/>
        <v>0</v>
      </c>
      <c r="K153" s="1254"/>
      <c r="L153" s="1253"/>
      <c r="M153" s="1259"/>
      <c r="N153" s="719"/>
      <c r="O153" s="720"/>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18"/>
        <v>0</v>
      </c>
      <c r="AQ153" s="42"/>
      <c r="AR153" s="42"/>
      <c r="AS153" s="42"/>
      <c r="AT153" s="43"/>
      <c r="AU153" s="687">
        <f t="shared" si="19"/>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6"/>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0"/>
        <v>0</v>
      </c>
      <c r="DO153" s="683"/>
    </row>
    <row r="154" spans="1:119" ht="25.5" customHeight="1" thickTop="1" thickBot="1" x14ac:dyDescent="0.25">
      <c r="A154" s="676">
        <f t="shared" si="17"/>
        <v>139</v>
      </c>
      <c r="B154" s="1054"/>
      <c r="C154" s="1054"/>
      <c r="D154" s="83"/>
      <c r="E154" s="954"/>
      <c r="F154" s="52"/>
      <c r="G154" s="103"/>
      <c r="H154" s="1058"/>
      <c r="I154" s="684" t="str">
        <f t="shared" si="14"/>
        <v/>
      </c>
      <c r="J154" s="685">
        <f t="shared" si="15"/>
        <v>0</v>
      </c>
      <c r="K154" s="1254"/>
      <c r="L154" s="1253"/>
      <c r="M154" s="1259"/>
      <c r="N154" s="719"/>
      <c r="O154" s="720"/>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18"/>
        <v>0</v>
      </c>
      <c r="AQ154" s="42"/>
      <c r="AR154" s="42"/>
      <c r="AS154" s="42"/>
      <c r="AT154" s="43"/>
      <c r="AU154" s="687">
        <f t="shared" si="19"/>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6"/>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0"/>
        <v>0</v>
      </c>
      <c r="DO154" s="683"/>
    </row>
    <row r="155" spans="1:119" ht="25.5" customHeight="1" thickTop="1" thickBot="1" x14ac:dyDescent="0.25">
      <c r="A155" s="676">
        <f t="shared" si="17"/>
        <v>140</v>
      </c>
      <c r="B155" s="1054"/>
      <c r="C155" s="1054"/>
      <c r="D155" s="83"/>
      <c r="E155" s="954"/>
      <c r="F155" s="52"/>
      <c r="G155" s="103"/>
      <c r="H155" s="1058"/>
      <c r="I155" s="684" t="str">
        <f t="shared" si="14"/>
        <v/>
      </c>
      <c r="J155" s="685">
        <f t="shared" si="15"/>
        <v>0</v>
      </c>
      <c r="K155" s="1254"/>
      <c r="L155" s="1253"/>
      <c r="M155" s="1259"/>
      <c r="N155" s="719"/>
      <c r="O155" s="720"/>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18"/>
        <v>0</v>
      </c>
      <c r="AQ155" s="42"/>
      <c r="AR155" s="42"/>
      <c r="AS155" s="42"/>
      <c r="AT155" s="43"/>
      <c r="AU155" s="687">
        <f t="shared" si="19"/>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6"/>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0"/>
        <v>0</v>
      </c>
      <c r="DO155" s="683"/>
    </row>
    <row r="156" spans="1:119" ht="25.5" customHeight="1" thickTop="1" thickBot="1" x14ac:dyDescent="0.25">
      <c r="A156" s="676">
        <f t="shared" si="17"/>
        <v>141</v>
      </c>
      <c r="B156" s="1054"/>
      <c r="C156" s="1054"/>
      <c r="D156" s="83"/>
      <c r="E156" s="954"/>
      <c r="F156" s="52"/>
      <c r="G156" s="103"/>
      <c r="H156" s="1058"/>
      <c r="I156" s="684" t="str">
        <f t="shared" si="14"/>
        <v/>
      </c>
      <c r="J156" s="685">
        <f t="shared" si="15"/>
        <v>0</v>
      </c>
      <c r="K156" s="1254"/>
      <c r="L156" s="1253"/>
      <c r="M156" s="1259"/>
      <c r="N156" s="719"/>
      <c r="O156" s="720"/>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18"/>
        <v>0</v>
      </c>
      <c r="AQ156" s="42"/>
      <c r="AR156" s="42"/>
      <c r="AS156" s="42"/>
      <c r="AT156" s="43"/>
      <c r="AU156" s="687">
        <f t="shared" si="19"/>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6"/>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0"/>
        <v>0</v>
      </c>
      <c r="DO156" s="683"/>
    </row>
    <row r="157" spans="1:119" ht="25.5" customHeight="1" thickTop="1" thickBot="1" x14ac:dyDescent="0.25">
      <c r="A157" s="676">
        <f t="shared" si="17"/>
        <v>142</v>
      </c>
      <c r="B157" s="1054"/>
      <c r="C157" s="1054"/>
      <c r="D157" s="83"/>
      <c r="E157" s="954"/>
      <c r="F157" s="52"/>
      <c r="G157" s="103"/>
      <c r="H157" s="1058"/>
      <c r="I157" s="684" t="str">
        <f t="shared" si="14"/>
        <v/>
      </c>
      <c r="J157" s="685">
        <f t="shared" si="15"/>
        <v>0</v>
      </c>
      <c r="K157" s="1254"/>
      <c r="L157" s="1253"/>
      <c r="M157" s="1259"/>
      <c r="N157" s="719"/>
      <c r="O157" s="720"/>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18"/>
        <v>0</v>
      </c>
      <c r="AQ157" s="42"/>
      <c r="AR157" s="42"/>
      <c r="AS157" s="42"/>
      <c r="AT157" s="43"/>
      <c r="AU157" s="687">
        <f t="shared" si="19"/>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6"/>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0"/>
        <v>0</v>
      </c>
      <c r="DO157" s="683"/>
    </row>
    <row r="158" spans="1:119" ht="25.5" customHeight="1" thickTop="1" thickBot="1" x14ac:dyDescent="0.25">
      <c r="A158" s="676">
        <f t="shared" si="17"/>
        <v>143</v>
      </c>
      <c r="B158" s="1054"/>
      <c r="C158" s="1054"/>
      <c r="D158" s="83"/>
      <c r="E158" s="954"/>
      <c r="F158" s="52"/>
      <c r="G158" s="103"/>
      <c r="H158" s="1058"/>
      <c r="I158" s="684" t="str">
        <f t="shared" si="14"/>
        <v/>
      </c>
      <c r="J158" s="685">
        <f t="shared" si="15"/>
        <v>0</v>
      </c>
      <c r="K158" s="1254"/>
      <c r="L158" s="1253"/>
      <c r="M158" s="1259"/>
      <c r="N158" s="719"/>
      <c r="O158" s="720"/>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18"/>
        <v>0</v>
      </c>
      <c r="AQ158" s="42"/>
      <c r="AR158" s="42"/>
      <c r="AS158" s="42"/>
      <c r="AT158" s="43"/>
      <c r="AU158" s="687">
        <f t="shared" si="19"/>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6"/>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0"/>
        <v>0</v>
      </c>
      <c r="DO158" s="683"/>
    </row>
    <row r="159" spans="1:119" ht="25.5" customHeight="1" thickTop="1" thickBot="1" x14ac:dyDescent="0.25">
      <c r="A159" s="676">
        <f t="shared" si="17"/>
        <v>144</v>
      </c>
      <c r="B159" s="1054"/>
      <c r="C159" s="1054"/>
      <c r="D159" s="83"/>
      <c r="E159" s="954"/>
      <c r="F159" s="52"/>
      <c r="G159" s="103"/>
      <c r="H159" s="1058"/>
      <c r="I159" s="684" t="str">
        <f t="shared" si="14"/>
        <v/>
      </c>
      <c r="J159" s="685">
        <f t="shared" si="15"/>
        <v>0</v>
      </c>
      <c r="K159" s="1254"/>
      <c r="L159" s="1253"/>
      <c r="M159" s="1259"/>
      <c r="N159" s="719"/>
      <c r="O159" s="720"/>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18"/>
        <v>0</v>
      </c>
      <c r="AQ159" s="42"/>
      <c r="AR159" s="42"/>
      <c r="AS159" s="42"/>
      <c r="AT159" s="43"/>
      <c r="AU159" s="687">
        <f t="shared" si="19"/>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6"/>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0"/>
        <v>0</v>
      </c>
      <c r="DO159" s="683"/>
    </row>
    <row r="160" spans="1:119" ht="25.5" customHeight="1" thickTop="1" thickBot="1" x14ac:dyDescent="0.25">
      <c r="A160" s="676">
        <f t="shared" si="17"/>
        <v>145</v>
      </c>
      <c r="B160" s="1054"/>
      <c r="C160" s="1054"/>
      <c r="D160" s="83"/>
      <c r="E160" s="954"/>
      <c r="F160" s="52"/>
      <c r="G160" s="103"/>
      <c r="H160" s="1058"/>
      <c r="I160" s="684" t="str">
        <f t="shared" si="14"/>
        <v/>
      </c>
      <c r="J160" s="685">
        <f t="shared" si="15"/>
        <v>0</v>
      </c>
      <c r="K160" s="1254"/>
      <c r="L160" s="1253"/>
      <c r="M160" s="1259"/>
      <c r="N160" s="719"/>
      <c r="O160" s="720"/>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18"/>
        <v>0</v>
      </c>
      <c r="AQ160" s="42"/>
      <c r="AR160" s="42"/>
      <c r="AS160" s="42"/>
      <c r="AT160" s="43"/>
      <c r="AU160" s="687">
        <f t="shared" si="19"/>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6"/>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0"/>
        <v>0</v>
      </c>
      <c r="DO160" s="683"/>
    </row>
    <row r="161" spans="1:119" ht="25.5" customHeight="1" thickTop="1" thickBot="1" x14ac:dyDescent="0.25">
      <c r="A161" s="676">
        <f t="shared" si="17"/>
        <v>146</v>
      </c>
      <c r="B161" s="1054"/>
      <c r="C161" s="1054"/>
      <c r="D161" s="83"/>
      <c r="E161" s="954"/>
      <c r="F161" s="52"/>
      <c r="G161" s="103"/>
      <c r="H161" s="1058"/>
      <c r="I161" s="684" t="str">
        <f t="shared" si="14"/>
        <v/>
      </c>
      <c r="J161" s="685">
        <f t="shared" si="15"/>
        <v>0</v>
      </c>
      <c r="K161" s="1254"/>
      <c r="L161" s="1253"/>
      <c r="M161" s="1259"/>
      <c r="N161" s="719"/>
      <c r="O161" s="720"/>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18"/>
        <v>0</v>
      </c>
      <c r="AQ161" s="42"/>
      <c r="AR161" s="42"/>
      <c r="AS161" s="42"/>
      <c r="AT161" s="43"/>
      <c r="AU161" s="687">
        <f t="shared" si="19"/>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6"/>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0"/>
        <v>0</v>
      </c>
      <c r="DO161" s="683"/>
    </row>
    <row r="162" spans="1:119" ht="25.5" customHeight="1" thickTop="1" thickBot="1" x14ac:dyDescent="0.25">
      <c r="A162" s="676">
        <f t="shared" si="17"/>
        <v>147</v>
      </c>
      <c r="B162" s="1054"/>
      <c r="C162" s="1054"/>
      <c r="D162" s="83"/>
      <c r="E162" s="954"/>
      <c r="F162" s="52"/>
      <c r="G162" s="103"/>
      <c r="H162" s="1058"/>
      <c r="I162" s="684" t="str">
        <f t="shared" si="14"/>
        <v/>
      </c>
      <c r="J162" s="685">
        <f t="shared" si="15"/>
        <v>0</v>
      </c>
      <c r="K162" s="1254"/>
      <c r="L162" s="1253"/>
      <c r="M162" s="1259"/>
      <c r="N162" s="719"/>
      <c r="O162" s="720"/>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18"/>
        <v>0</v>
      </c>
      <c r="AQ162" s="42"/>
      <c r="AR162" s="42"/>
      <c r="AS162" s="42"/>
      <c r="AT162" s="43"/>
      <c r="AU162" s="687">
        <f t="shared" si="19"/>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6"/>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0"/>
        <v>0</v>
      </c>
      <c r="DO162" s="683"/>
    </row>
    <row r="163" spans="1:119" ht="25.5" customHeight="1" thickTop="1" thickBot="1" x14ac:dyDescent="0.25">
      <c r="A163" s="676">
        <f t="shared" si="17"/>
        <v>148</v>
      </c>
      <c r="B163" s="1054"/>
      <c r="C163" s="1054"/>
      <c r="D163" s="83"/>
      <c r="E163" s="954"/>
      <c r="F163" s="52"/>
      <c r="G163" s="103"/>
      <c r="H163" s="1058"/>
      <c r="I163" s="684" t="str">
        <f t="shared" si="14"/>
        <v/>
      </c>
      <c r="J163" s="685">
        <f t="shared" si="15"/>
        <v>0</v>
      </c>
      <c r="K163" s="1254"/>
      <c r="L163" s="1253"/>
      <c r="M163" s="1259"/>
      <c r="N163" s="719"/>
      <c r="O163" s="720"/>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18"/>
        <v>0</v>
      </c>
      <c r="AQ163" s="42"/>
      <c r="AR163" s="42"/>
      <c r="AS163" s="42"/>
      <c r="AT163" s="43"/>
      <c r="AU163" s="687">
        <f t="shared" si="19"/>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6"/>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0"/>
        <v>0</v>
      </c>
      <c r="DO163" s="683"/>
    </row>
    <row r="164" spans="1:119" ht="25.5" customHeight="1" thickTop="1" thickBot="1" x14ac:dyDescent="0.25">
      <c r="A164" s="676">
        <f t="shared" si="17"/>
        <v>149</v>
      </c>
      <c r="B164" s="1054"/>
      <c r="C164" s="1054"/>
      <c r="D164" s="83"/>
      <c r="E164" s="954"/>
      <c r="F164" s="52"/>
      <c r="G164" s="103"/>
      <c r="H164" s="1058"/>
      <c r="I164" s="684" t="str">
        <f t="shared" si="14"/>
        <v/>
      </c>
      <c r="J164" s="685">
        <f t="shared" si="15"/>
        <v>0</v>
      </c>
      <c r="K164" s="1254"/>
      <c r="L164" s="1253"/>
      <c r="M164" s="1259"/>
      <c r="N164" s="719"/>
      <c r="O164" s="720"/>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18"/>
        <v>0</v>
      </c>
      <c r="AQ164" s="42"/>
      <c r="AR164" s="42"/>
      <c r="AS164" s="42"/>
      <c r="AT164" s="43"/>
      <c r="AU164" s="687">
        <f t="shared" si="19"/>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6"/>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0"/>
        <v>0</v>
      </c>
      <c r="DO164" s="683"/>
    </row>
    <row r="165" spans="1:119" ht="25.5" customHeight="1" thickTop="1" thickBot="1" x14ac:dyDescent="0.25">
      <c r="A165" s="676">
        <f t="shared" si="17"/>
        <v>150</v>
      </c>
      <c r="B165" s="1054"/>
      <c r="C165" s="1054"/>
      <c r="D165" s="83"/>
      <c r="E165" s="954"/>
      <c r="F165" s="52"/>
      <c r="G165" s="103"/>
      <c r="H165" s="1058"/>
      <c r="I165" s="684" t="str">
        <f t="shared" si="14"/>
        <v/>
      </c>
      <c r="J165" s="685">
        <f t="shared" si="15"/>
        <v>0</v>
      </c>
      <c r="K165" s="1254"/>
      <c r="L165" s="1253"/>
      <c r="M165" s="1259"/>
      <c r="N165" s="719"/>
      <c r="O165" s="720"/>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18"/>
        <v>0</v>
      </c>
      <c r="AQ165" s="42"/>
      <c r="AR165" s="42"/>
      <c r="AS165" s="42"/>
      <c r="AT165" s="43"/>
      <c r="AU165" s="687">
        <f t="shared" si="19"/>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6"/>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0"/>
        <v>0</v>
      </c>
      <c r="DO165" s="683"/>
    </row>
    <row r="166" spans="1:119" ht="25.5" customHeight="1" thickTop="1" thickBot="1" x14ac:dyDescent="0.25">
      <c r="A166" s="676">
        <f t="shared" si="17"/>
        <v>151</v>
      </c>
      <c r="B166" s="1054"/>
      <c r="C166" s="1054"/>
      <c r="D166" s="83"/>
      <c r="E166" s="954"/>
      <c r="F166" s="52"/>
      <c r="G166" s="103"/>
      <c r="H166" s="1058"/>
      <c r="I166" s="684" t="str">
        <f t="shared" si="14"/>
        <v/>
      </c>
      <c r="J166" s="685">
        <f t="shared" si="15"/>
        <v>0</v>
      </c>
      <c r="K166" s="1260"/>
      <c r="L166" s="1253"/>
      <c r="M166" s="1259"/>
      <c r="N166" s="719"/>
      <c r="O166" s="720"/>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18"/>
        <v>0</v>
      </c>
      <c r="AQ166" s="42"/>
      <c r="AR166" s="42"/>
      <c r="AS166" s="42"/>
      <c r="AT166" s="43"/>
      <c r="AU166" s="687">
        <f t="shared" si="19"/>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6"/>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0"/>
        <v>0</v>
      </c>
      <c r="DO166" s="683"/>
    </row>
    <row r="167" spans="1:119" ht="25.5" customHeight="1" thickTop="1" thickBot="1" x14ac:dyDescent="0.25">
      <c r="A167" s="676">
        <f t="shared" si="17"/>
        <v>152</v>
      </c>
      <c r="B167" s="1054"/>
      <c r="C167" s="1054"/>
      <c r="D167" s="83"/>
      <c r="E167" s="954"/>
      <c r="F167" s="52"/>
      <c r="G167" s="103"/>
      <c r="H167" s="1058"/>
      <c r="I167" s="684" t="str">
        <f t="shared" si="14"/>
        <v/>
      </c>
      <c r="J167" s="685">
        <f t="shared" si="15"/>
        <v>0</v>
      </c>
      <c r="K167" s="1260"/>
      <c r="L167" s="1253"/>
      <c r="M167" s="1259"/>
      <c r="N167" s="719"/>
      <c r="O167" s="720"/>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18"/>
        <v>0</v>
      </c>
      <c r="AQ167" s="42"/>
      <c r="AR167" s="42"/>
      <c r="AS167" s="42"/>
      <c r="AT167" s="43"/>
      <c r="AU167" s="687">
        <f t="shared" si="19"/>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6"/>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0"/>
        <v>0</v>
      </c>
      <c r="DO167" s="683"/>
    </row>
    <row r="168" spans="1:119" ht="25.5" customHeight="1" thickTop="1" thickBot="1" x14ac:dyDescent="0.25">
      <c r="A168" s="676">
        <f t="shared" si="17"/>
        <v>153</v>
      </c>
      <c r="B168" s="1054"/>
      <c r="C168" s="1054"/>
      <c r="D168" s="83"/>
      <c r="E168" s="954"/>
      <c r="F168" s="52"/>
      <c r="G168" s="103"/>
      <c r="H168" s="1058"/>
      <c r="I168" s="684" t="str">
        <f t="shared" si="14"/>
        <v/>
      </c>
      <c r="J168" s="685">
        <f t="shared" si="15"/>
        <v>0</v>
      </c>
      <c r="K168" s="1260"/>
      <c r="L168" s="1253"/>
      <c r="M168" s="1259"/>
      <c r="N168" s="719"/>
      <c r="O168" s="720"/>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18"/>
        <v>0</v>
      </c>
      <c r="AQ168" s="42"/>
      <c r="AR168" s="42"/>
      <c r="AS168" s="42"/>
      <c r="AT168" s="43"/>
      <c r="AU168" s="687">
        <f t="shared" si="19"/>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6"/>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0"/>
        <v>0</v>
      </c>
      <c r="DO168" s="683"/>
    </row>
    <row r="169" spans="1:119" ht="25.5" customHeight="1" thickTop="1" thickBot="1" x14ac:dyDescent="0.25">
      <c r="A169" s="676">
        <f t="shared" si="17"/>
        <v>154</v>
      </c>
      <c r="B169" s="1054"/>
      <c r="C169" s="1054"/>
      <c r="D169" s="83"/>
      <c r="E169" s="954"/>
      <c r="F169" s="52"/>
      <c r="G169" s="103"/>
      <c r="H169" s="1058"/>
      <c r="I169" s="684" t="str">
        <f t="shared" si="14"/>
        <v/>
      </c>
      <c r="J169" s="685">
        <f t="shared" si="15"/>
        <v>0</v>
      </c>
      <c r="K169" s="1260"/>
      <c r="L169" s="1253"/>
      <c r="M169" s="1259"/>
      <c r="N169" s="719"/>
      <c r="O169" s="720"/>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18"/>
        <v>0</v>
      </c>
      <c r="AQ169" s="42"/>
      <c r="AR169" s="42"/>
      <c r="AS169" s="42"/>
      <c r="AT169" s="43"/>
      <c r="AU169" s="687">
        <f t="shared" si="19"/>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6"/>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0"/>
        <v>0</v>
      </c>
      <c r="DO169" s="683"/>
    </row>
    <row r="170" spans="1:119" ht="25.5" customHeight="1" thickTop="1" thickBot="1" x14ac:dyDescent="0.25">
      <c r="A170" s="676">
        <f t="shared" si="17"/>
        <v>155</v>
      </c>
      <c r="B170" s="1054"/>
      <c r="C170" s="1054"/>
      <c r="D170" s="83"/>
      <c r="E170" s="954"/>
      <c r="F170" s="52"/>
      <c r="G170" s="103"/>
      <c r="H170" s="1058"/>
      <c r="I170" s="684" t="str">
        <f t="shared" si="14"/>
        <v/>
      </c>
      <c r="J170" s="685">
        <f t="shared" si="15"/>
        <v>0</v>
      </c>
      <c r="K170" s="1260"/>
      <c r="L170" s="1253"/>
      <c r="M170" s="1259"/>
      <c r="N170" s="719"/>
      <c r="O170" s="720"/>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18"/>
        <v>0</v>
      </c>
      <c r="AQ170" s="42"/>
      <c r="AR170" s="42"/>
      <c r="AS170" s="42"/>
      <c r="AT170" s="43"/>
      <c r="AU170" s="687">
        <f t="shared" si="19"/>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6"/>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0"/>
        <v>0</v>
      </c>
      <c r="DO170" s="683"/>
    </row>
    <row r="171" spans="1:119" ht="25.5" customHeight="1" thickTop="1" thickBot="1" x14ac:dyDescent="0.25">
      <c r="A171" s="676">
        <f t="shared" si="17"/>
        <v>156</v>
      </c>
      <c r="B171" s="1054"/>
      <c r="C171" s="1054"/>
      <c r="D171" s="83"/>
      <c r="E171" s="954"/>
      <c r="F171" s="52"/>
      <c r="G171" s="103"/>
      <c r="H171" s="1058"/>
      <c r="I171" s="684" t="str">
        <f t="shared" si="14"/>
        <v/>
      </c>
      <c r="J171" s="685">
        <f t="shared" si="15"/>
        <v>0</v>
      </c>
      <c r="K171" s="1260"/>
      <c r="L171" s="1253"/>
      <c r="M171" s="1259"/>
      <c r="N171" s="719"/>
      <c r="O171" s="720"/>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18"/>
        <v>0</v>
      </c>
      <c r="AQ171" s="42"/>
      <c r="AR171" s="42"/>
      <c r="AS171" s="42"/>
      <c r="AT171" s="43"/>
      <c r="AU171" s="687">
        <f t="shared" si="19"/>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6"/>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0"/>
        <v>0</v>
      </c>
      <c r="DO171" s="683"/>
    </row>
    <row r="172" spans="1:119" ht="25.5" customHeight="1" thickTop="1" thickBot="1" x14ac:dyDescent="0.25">
      <c r="A172" s="676">
        <f t="shared" si="17"/>
        <v>157</v>
      </c>
      <c r="B172" s="1054"/>
      <c r="C172" s="1054"/>
      <c r="D172" s="83"/>
      <c r="E172" s="954"/>
      <c r="F172" s="52"/>
      <c r="G172" s="103"/>
      <c r="H172" s="1058"/>
      <c r="I172" s="684" t="str">
        <f t="shared" si="14"/>
        <v/>
      </c>
      <c r="J172" s="685">
        <f t="shared" si="15"/>
        <v>0</v>
      </c>
      <c r="K172" s="1260"/>
      <c r="L172" s="1253"/>
      <c r="M172" s="1259"/>
      <c r="N172" s="719"/>
      <c r="O172" s="720"/>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18"/>
        <v>0</v>
      </c>
      <c r="AQ172" s="42"/>
      <c r="AR172" s="42"/>
      <c r="AS172" s="42"/>
      <c r="AT172" s="43"/>
      <c r="AU172" s="687">
        <f t="shared" si="19"/>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6"/>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0"/>
        <v>0</v>
      </c>
      <c r="DO172" s="683"/>
    </row>
    <row r="173" spans="1:119" ht="25.5" customHeight="1" thickTop="1" thickBot="1" x14ac:dyDescent="0.25">
      <c r="A173" s="676">
        <f t="shared" si="17"/>
        <v>158</v>
      </c>
      <c r="B173" s="1054"/>
      <c r="C173" s="1054"/>
      <c r="D173" s="83"/>
      <c r="E173" s="954"/>
      <c r="F173" s="52"/>
      <c r="G173" s="103"/>
      <c r="H173" s="1058"/>
      <c r="I173" s="684" t="str">
        <f t="shared" si="14"/>
        <v/>
      </c>
      <c r="J173" s="685">
        <f t="shared" si="15"/>
        <v>0</v>
      </c>
      <c r="K173" s="1260"/>
      <c r="L173" s="1253"/>
      <c r="M173" s="1259"/>
      <c r="N173" s="719"/>
      <c r="O173" s="720"/>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18"/>
        <v>0</v>
      </c>
      <c r="AQ173" s="42"/>
      <c r="AR173" s="42"/>
      <c r="AS173" s="42"/>
      <c r="AT173" s="43"/>
      <c r="AU173" s="687">
        <f t="shared" si="19"/>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6"/>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0"/>
        <v>0</v>
      </c>
      <c r="DO173" s="683"/>
    </row>
    <row r="174" spans="1:119" ht="25.5" customHeight="1" thickTop="1" thickBot="1" x14ac:dyDescent="0.25">
      <c r="A174" s="676">
        <f t="shared" si="17"/>
        <v>159</v>
      </c>
      <c r="B174" s="1054"/>
      <c r="C174" s="1054"/>
      <c r="D174" s="83"/>
      <c r="E174" s="954"/>
      <c r="F174" s="52"/>
      <c r="G174" s="103"/>
      <c r="H174" s="1058"/>
      <c r="I174" s="684" t="str">
        <f t="shared" si="14"/>
        <v/>
      </c>
      <c r="J174" s="685">
        <f t="shared" si="15"/>
        <v>0</v>
      </c>
      <c r="K174" s="1260"/>
      <c r="L174" s="1253"/>
      <c r="M174" s="1259"/>
      <c r="N174" s="719"/>
      <c r="O174" s="720"/>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18"/>
        <v>0</v>
      </c>
      <c r="AQ174" s="42"/>
      <c r="AR174" s="42"/>
      <c r="AS174" s="42"/>
      <c r="AT174" s="43"/>
      <c r="AU174" s="687">
        <f t="shared" si="19"/>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6"/>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0"/>
        <v>0</v>
      </c>
      <c r="DO174" s="683"/>
    </row>
    <row r="175" spans="1:119" ht="25.5" customHeight="1" thickTop="1" thickBot="1" x14ac:dyDescent="0.25">
      <c r="A175" s="676">
        <f t="shared" si="17"/>
        <v>160</v>
      </c>
      <c r="B175" s="1054"/>
      <c r="C175" s="1054"/>
      <c r="D175" s="83"/>
      <c r="E175" s="954"/>
      <c r="F175" s="52"/>
      <c r="G175" s="103"/>
      <c r="H175" s="1058"/>
      <c r="I175" s="684" t="str">
        <f t="shared" si="14"/>
        <v/>
      </c>
      <c r="J175" s="685">
        <f t="shared" si="15"/>
        <v>0</v>
      </c>
      <c r="K175" s="1260"/>
      <c r="L175" s="1253"/>
      <c r="M175" s="1259"/>
      <c r="N175" s="719"/>
      <c r="O175" s="720"/>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18"/>
        <v>0</v>
      </c>
      <c r="AQ175" s="42"/>
      <c r="AR175" s="42"/>
      <c r="AS175" s="42"/>
      <c r="AT175" s="43"/>
      <c r="AU175" s="687">
        <f t="shared" si="19"/>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6"/>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0"/>
        <v>0</v>
      </c>
      <c r="DO175" s="683"/>
    </row>
    <row r="176" spans="1:119" ht="25.5" customHeight="1" thickTop="1" thickBot="1" x14ac:dyDescent="0.25">
      <c r="A176" s="676">
        <f t="shared" si="17"/>
        <v>161</v>
      </c>
      <c r="B176" s="1054"/>
      <c r="C176" s="1054"/>
      <c r="D176" s="83"/>
      <c r="E176" s="954"/>
      <c r="F176" s="52"/>
      <c r="G176" s="103"/>
      <c r="H176" s="1058"/>
      <c r="I176" s="684" t="str">
        <f t="shared" si="14"/>
        <v/>
      </c>
      <c r="J176" s="685">
        <f t="shared" si="15"/>
        <v>0</v>
      </c>
      <c r="K176" s="1260"/>
      <c r="L176" s="1253"/>
      <c r="M176" s="1259"/>
      <c r="N176" s="719"/>
      <c r="O176" s="720"/>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18"/>
        <v>0</v>
      </c>
      <c r="AQ176" s="42"/>
      <c r="AR176" s="42"/>
      <c r="AS176" s="42"/>
      <c r="AT176" s="43"/>
      <c r="AU176" s="687">
        <f t="shared" si="19"/>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6"/>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0"/>
        <v>0</v>
      </c>
      <c r="DO176" s="683"/>
    </row>
    <row r="177" spans="1:119" ht="25.5" customHeight="1" thickTop="1" thickBot="1" x14ac:dyDescent="0.25">
      <c r="A177" s="676">
        <f t="shared" si="17"/>
        <v>162</v>
      </c>
      <c r="B177" s="1054"/>
      <c r="C177" s="1054"/>
      <c r="D177" s="83"/>
      <c r="E177" s="954"/>
      <c r="F177" s="52"/>
      <c r="G177" s="103"/>
      <c r="H177" s="1058"/>
      <c r="I177" s="684" t="str">
        <f t="shared" si="14"/>
        <v/>
      </c>
      <c r="J177" s="685">
        <f t="shared" si="15"/>
        <v>0</v>
      </c>
      <c r="K177" s="1260"/>
      <c r="L177" s="1253"/>
      <c r="M177" s="1259"/>
      <c r="N177" s="719"/>
      <c r="O177" s="720"/>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18"/>
        <v>0</v>
      </c>
      <c r="AQ177" s="42"/>
      <c r="AR177" s="42"/>
      <c r="AS177" s="42"/>
      <c r="AT177" s="43"/>
      <c r="AU177" s="687">
        <f t="shared" si="19"/>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6"/>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0"/>
        <v>0</v>
      </c>
      <c r="DO177" s="683"/>
    </row>
    <row r="178" spans="1:119" ht="25.5" customHeight="1" thickTop="1" thickBot="1" x14ac:dyDescent="0.25">
      <c r="A178" s="676">
        <f t="shared" si="17"/>
        <v>163</v>
      </c>
      <c r="B178" s="1054"/>
      <c r="C178" s="1054"/>
      <c r="D178" s="83"/>
      <c r="E178" s="954"/>
      <c r="F178" s="52"/>
      <c r="G178" s="103"/>
      <c r="H178" s="1058"/>
      <c r="I178" s="684" t="str">
        <f t="shared" si="14"/>
        <v/>
      </c>
      <c r="J178" s="685">
        <f t="shared" si="15"/>
        <v>0</v>
      </c>
      <c r="K178" s="1260"/>
      <c r="L178" s="1253"/>
      <c r="M178" s="1259"/>
      <c r="N178" s="719"/>
      <c r="O178" s="720"/>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18"/>
        <v>0</v>
      </c>
      <c r="AQ178" s="42"/>
      <c r="AR178" s="42"/>
      <c r="AS178" s="42"/>
      <c r="AT178" s="43"/>
      <c r="AU178" s="687">
        <f t="shared" si="19"/>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6"/>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0"/>
        <v>0</v>
      </c>
      <c r="DO178" s="683"/>
    </row>
    <row r="179" spans="1:119" ht="25.5" customHeight="1" thickTop="1" thickBot="1" x14ac:dyDescent="0.25">
      <c r="A179" s="676">
        <f t="shared" si="17"/>
        <v>164</v>
      </c>
      <c r="B179" s="1054"/>
      <c r="C179" s="1054"/>
      <c r="D179" s="83"/>
      <c r="E179" s="954"/>
      <c r="F179" s="52"/>
      <c r="G179" s="103"/>
      <c r="H179" s="1058"/>
      <c r="I179" s="684" t="str">
        <f t="shared" si="14"/>
        <v/>
      </c>
      <c r="J179" s="685">
        <f t="shared" si="15"/>
        <v>0</v>
      </c>
      <c r="K179" s="1260"/>
      <c r="L179" s="1253"/>
      <c r="M179" s="1259"/>
      <c r="N179" s="719"/>
      <c r="O179" s="720"/>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18"/>
        <v>0</v>
      </c>
      <c r="AQ179" s="42"/>
      <c r="AR179" s="42"/>
      <c r="AS179" s="42"/>
      <c r="AT179" s="43"/>
      <c r="AU179" s="687">
        <f t="shared" si="19"/>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6"/>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0"/>
        <v>0</v>
      </c>
      <c r="DO179" s="683"/>
    </row>
    <row r="180" spans="1:119" ht="25.5" customHeight="1" thickTop="1" thickBot="1" x14ac:dyDescent="0.25">
      <c r="A180" s="676">
        <f t="shared" si="17"/>
        <v>165</v>
      </c>
      <c r="B180" s="1054"/>
      <c r="C180" s="1054"/>
      <c r="D180" s="83"/>
      <c r="E180" s="954"/>
      <c r="F180" s="52"/>
      <c r="G180" s="103"/>
      <c r="H180" s="1058"/>
      <c r="I180" s="684" t="str">
        <f t="shared" si="14"/>
        <v/>
      </c>
      <c r="J180" s="685">
        <f t="shared" si="15"/>
        <v>0</v>
      </c>
      <c r="K180" s="1260"/>
      <c r="L180" s="1253"/>
      <c r="M180" s="1259"/>
      <c r="N180" s="719"/>
      <c r="O180" s="720"/>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18"/>
        <v>0</v>
      </c>
      <c r="AQ180" s="42"/>
      <c r="AR180" s="42"/>
      <c r="AS180" s="42"/>
      <c r="AT180" s="43"/>
      <c r="AU180" s="687">
        <f t="shared" si="19"/>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6"/>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0"/>
        <v>0</v>
      </c>
      <c r="DO180" s="683"/>
    </row>
    <row r="181" spans="1:119" ht="25.5" customHeight="1" thickTop="1" thickBot="1" x14ac:dyDescent="0.25">
      <c r="A181" s="676">
        <f t="shared" si="17"/>
        <v>166</v>
      </c>
      <c r="B181" s="1054"/>
      <c r="C181" s="1054"/>
      <c r="D181" s="83"/>
      <c r="E181" s="954"/>
      <c r="F181" s="52"/>
      <c r="G181" s="103"/>
      <c r="H181" s="1058"/>
      <c r="I181" s="684" t="str">
        <f t="shared" si="14"/>
        <v/>
      </c>
      <c r="J181" s="685">
        <f t="shared" si="15"/>
        <v>0</v>
      </c>
      <c r="K181" s="1260"/>
      <c r="L181" s="1253"/>
      <c r="M181" s="1259"/>
      <c r="N181" s="719"/>
      <c r="O181" s="720"/>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18"/>
        <v>0</v>
      </c>
      <c r="AQ181" s="42"/>
      <c r="AR181" s="42"/>
      <c r="AS181" s="42"/>
      <c r="AT181" s="43"/>
      <c r="AU181" s="687">
        <f t="shared" si="19"/>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6"/>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0"/>
        <v>0</v>
      </c>
      <c r="DO181" s="683"/>
    </row>
    <row r="182" spans="1:119" ht="25.5" customHeight="1" thickTop="1" thickBot="1" x14ac:dyDescent="0.25">
      <c r="A182" s="676">
        <f t="shared" si="17"/>
        <v>167</v>
      </c>
      <c r="B182" s="1054"/>
      <c r="C182" s="1054"/>
      <c r="D182" s="83"/>
      <c r="E182" s="954"/>
      <c r="F182" s="52"/>
      <c r="G182" s="103"/>
      <c r="H182" s="1058"/>
      <c r="I182" s="684" t="str">
        <f t="shared" si="14"/>
        <v/>
      </c>
      <c r="J182" s="685">
        <f t="shared" si="15"/>
        <v>0</v>
      </c>
      <c r="K182" s="1260"/>
      <c r="L182" s="1253"/>
      <c r="M182" s="1259"/>
      <c r="N182" s="719"/>
      <c r="O182" s="720"/>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18"/>
        <v>0</v>
      </c>
      <c r="AQ182" s="42"/>
      <c r="AR182" s="42"/>
      <c r="AS182" s="42"/>
      <c r="AT182" s="43"/>
      <c r="AU182" s="687">
        <f t="shared" si="19"/>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6"/>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0"/>
        <v>0</v>
      </c>
      <c r="DO182" s="683"/>
    </row>
    <row r="183" spans="1:119" ht="25.5" customHeight="1" thickTop="1" thickBot="1" x14ac:dyDescent="0.25">
      <c r="A183" s="676">
        <f t="shared" si="17"/>
        <v>168</v>
      </c>
      <c r="B183" s="1054"/>
      <c r="C183" s="1054"/>
      <c r="D183" s="83"/>
      <c r="E183" s="954"/>
      <c r="F183" s="52"/>
      <c r="G183" s="103"/>
      <c r="H183" s="1058"/>
      <c r="I183" s="684" t="str">
        <f t="shared" si="14"/>
        <v/>
      </c>
      <c r="J183" s="685">
        <f t="shared" si="15"/>
        <v>0</v>
      </c>
      <c r="K183" s="1260"/>
      <c r="L183" s="1253"/>
      <c r="M183" s="1259"/>
      <c r="N183" s="719"/>
      <c r="O183" s="720"/>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18"/>
        <v>0</v>
      </c>
      <c r="AQ183" s="42"/>
      <c r="AR183" s="42"/>
      <c r="AS183" s="42"/>
      <c r="AT183" s="43"/>
      <c r="AU183" s="687">
        <f t="shared" si="19"/>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6"/>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0"/>
        <v>0</v>
      </c>
      <c r="DO183" s="683"/>
    </row>
    <row r="184" spans="1:119" ht="25.5" customHeight="1" thickTop="1" thickBot="1" x14ac:dyDescent="0.25">
      <c r="A184" s="676">
        <f t="shared" si="17"/>
        <v>169</v>
      </c>
      <c r="B184" s="1054"/>
      <c r="C184" s="1054"/>
      <c r="D184" s="83"/>
      <c r="E184" s="954"/>
      <c r="F184" s="52"/>
      <c r="G184" s="103"/>
      <c r="H184" s="1058"/>
      <c r="I184" s="684" t="str">
        <f t="shared" si="14"/>
        <v/>
      </c>
      <c r="J184" s="685">
        <f t="shared" si="15"/>
        <v>0</v>
      </c>
      <c r="K184" s="1260"/>
      <c r="L184" s="1253"/>
      <c r="M184" s="1259"/>
      <c r="N184" s="719"/>
      <c r="O184" s="720"/>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18"/>
        <v>0</v>
      </c>
      <c r="AQ184" s="42"/>
      <c r="AR184" s="42"/>
      <c r="AS184" s="42"/>
      <c r="AT184" s="43"/>
      <c r="AU184" s="687">
        <f t="shared" si="19"/>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6"/>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0"/>
        <v>0</v>
      </c>
      <c r="DO184" s="683"/>
    </row>
    <row r="185" spans="1:119" ht="25.5" customHeight="1" thickTop="1" thickBot="1" x14ac:dyDescent="0.25">
      <c r="A185" s="676">
        <f t="shared" si="17"/>
        <v>170</v>
      </c>
      <c r="B185" s="1054"/>
      <c r="C185" s="1054"/>
      <c r="D185" s="83"/>
      <c r="E185" s="954"/>
      <c r="F185" s="52"/>
      <c r="G185" s="103"/>
      <c r="H185" s="1058"/>
      <c r="I185" s="684" t="str">
        <f t="shared" si="14"/>
        <v/>
      </c>
      <c r="J185" s="685">
        <f t="shared" si="15"/>
        <v>0</v>
      </c>
      <c r="K185" s="1260"/>
      <c r="L185" s="1253"/>
      <c r="M185" s="1259"/>
      <c r="N185" s="719"/>
      <c r="O185" s="720"/>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18"/>
        <v>0</v>
      </c>
      <c r="AQ185" s="42"/>
      <c r="AR185" s="42"/>
      <c r="AS185" s="42"/>
      <c r="AT185" s="43"/>
      <c r="AU185" s="687">
        <f t="shared" si="19"/>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6"/>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0"/>
        <v>0</v>
      </c>
      <c r="DO185" s="683"/>
    </row>
    <row r="186" spans="1:119" ht="25.5" customHeight="1" thickTop="1" thickBot="1" x14ac:dyDescent="0.25">
      <c r="A186" s="676">
        <f t="shared" si="17"/>
        <v>171</v>
      </c>
      <c r="B186" s="1054"/>
      <c r="C186" s="1054"/>
      <c r="D186" s="83"/>
      <c r="E186" s="954"/>
      <c r="F186" s="52"/>
      <c r="G186" s="103"/>
      <c r="H186" s="1058"/>
      <c r="I186" s="684" t="str">
        <f t="shared" si="14"/>
        <v/>
      </c>
      <c r="J186" s="685">
        <f t="shared" si="15"/>
        <v>0</v>
      </c>
      <c r="K186" s="1260"/>
      <c r="L186" s="1253"/>
      <c r="M186" s="1259"/>
      <c r="N186" s="719"/>
      <c r="O186" s="720"/>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18"/>
        <v>0</v>
      </c>
      <c r="AQ186" s="42"/>
      <c r="AR186" s="42"/>
      <c r="AS186" s="42"/>
      <c r="AT186" s="43"/>
      <c r="AU186" s="687">
        <f t="shared" si="19"/>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6"/>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0"/>
        <v>0</v>
      </c>
      <c r="DO186" s="683"/>
    </row>
    <row r="187" spans="1:119" ht="25.5" customHeight="1" thickTop="1" thickBot="1" x14ac:dyDescent="0.25">
      <c r="A187" s="676">
        <f t="shared" si="17"/>
        <v>172</v>
      </c>
      <c r="B187" s="1054"/>
      <c r="C187" s="1054"/>
      <c r="D187" s="83"/>
      <c r="E187" s="954"/>
      <c r="F187" s="52"/>
      <c r="G187" s="103"/>
      <c r="H187" s="1058"/>
      <c r="I187" s="684" t="str">
        <f t="shared" si="14"/>
        <v/>
      </c>
      <c r="J187" s="685">
        <f t="shared" si="15"/>
        <v>0</v>
      </c>
      <c r="K187" s="1260"/>
      <c r="L187" s="1253"/>
      <c r="M187" s="1259"/>
      <c r="N187" s="719"/>
      <c r="O187" s="720"/>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18"/>
        <v>0</v>
      </c>
      <c r="AQ187" s="42"/>
      <c r="AR187" s="42"/>
      <c r="AS187" s="42"/>
      <c r="AT187" s="43"/>
      <c r="AU187" s="687">
        <f t="shared" si="19"/>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6"/>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0"/>
        <v>0</v>
      </c>
      <c r="DO187" s="683"/>
    </row>
    <row r="188" spans="1:119" ht="25.5" customHeight="1" thickTop="1" thickBot="1" x14ac:dyDescent="0.25">
      <c r="A188" s="676">
        <f t="shared" si="17"/>
        <v>173</v>
      </c>
      <c r="B188" s="1054"/>
      <c r="C188" s="1054"/>
      <c r="D188" s="83"/>
      <c r="E188" s="954"/>
      <c r="F188" s="52"/>
      <c r="G188" s="103"/>
      <c r="H188" s="1058"/>
      <c r="I188" s="684" t="str">
        <f t="shared" si="14"/>
        <v/>
      </c>
      <c r="J188" s="685">
        <f t="shared" si="15"/>
        <v>0</v>
      </c>
      <c r="K188" s="1260"/>
      <c r="L188" s="1253"/>
      <c r="M188" s="1259"/>
      <c r="N188" s="719"/>
      <c r="O188" s="720"/>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18"/>
        <v>0</v>
      </c>
      <c r="AQ188" s="42"/>
      <c r="AR188" s="42"/>
      <c r="AS188" s="42"/>
      <c r="AT188" s="43"/>
      <c r="AU188" s="687">
        <f t="shared" si="19"/>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6"/>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0"/>
        <v>0</v>
      </c>
      <c r="DO188" s="683"/>
    </row>
    <row r="189" spans="1:119" ht="25.5" customHeight="1" thickTop="1" thickBot="1" x14ac:dyDescent="0.25">
      <c r="A189" s="676">
        <f t="shared" si="17"/>
        <v>174</v>
      </c>
      <c r="B189" s="1054"/>
      <c r="C189" s="1054"/>
      <c r="D189" s="83"/>
      <c r="E189" s="954"/>
      <c r="F189" s="52"/>
      <c r="G189" s="103"/>
      <c r="H189" s="1058"/>
      <c r="I189" s="684" t="str">
        <f t="shared" si="14"/>
        <v/>
      </c>
      <c r="J189" s="685">
        <f t="shared" si="15"/>
        <v>0</v>
      </c>
      <c r="K189" s="1260"/>
      <c r="L189" s="1253"/>
      <c r="M189" s="1259"/>
      <c r="N189" s="719"/>
      <c r="O189" s="720"/>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18"/>
        <v>0</v>
      </c>
      <c r="AQ189" s="42"/>
      <c r="AR189" s="42"/>
      <c r="AS189" s="42"/>
      <c r="AT189" s="43"/>
      <c r="AU189" s="687">
        <f t="shared" si="19"/>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6"/>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0"/>
        <v>0</v>
      </c>
      <c r="DO189" s="683"/>
    </row>
    <row r="190" spans="1:119" ht="25.5" customHeight="1" thickTop="1" thickBot="1" x14ac:dyDescent="0.25">
      <c r="A190" s="676">
        <f t="shared" si="17"/>
        <v>175</v>
      </c>
      <c r="B190" s="1054"/>
      <c r="C190" s="1055"/>
      <c r="D190" s="83"/>
      <c r="E190" s="954"/>
      <c r="F190" s="52"/>
      <c r="G190" s="103"/>
      <c r="H190" s="1058"/>
      <c r="I190" s="684" t="str">
        <f t="shared" si="14"/>
        <v/>
      </c>
      <c r="J190" s="685">
        <f t="shared" si="15"/>
        <v>0</v>
      </c>
      <c r="K190" s="1260"/>
      <c r="L190" s="1253"/>
      <c r="M190" s="1259"/>
      <c r="N190" s="719"/>
      <c r="O190" s="720"/>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18"/>
        <v>0</v>
      </c>
      <c r="AQ190" s="42"/>
      <c r="AR190" s="42"/>
      <c r="AS190" s="42"/>
      <c r="AT190" s="43"/>
      <c r="AU190" s="687">
        <f t="shared" si="19"/>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6"/>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0"/>
        <v>0</v>
      </c>
      <c r="DO190" s="683"/>
    </row>
    <row r="191" spans="1:119" ht="25.5" customHeight="1" thickTop="1" thickBot="1" x14ac:dyDescent="0.25">
      <c r="A191" s="676">
        <f t="shared" si="17"/>
        <v>176</v>
      </c>
      <c r="B191" s="1054"/>
      <c r="C191" s="1055"/>
      <c r="D191" s="83"/>
      <c r="E191" s="954"/>
      <c r="F191" s="52"/>
      <c r="G191" s="103"/>
      <c r="H191" s="1058"/>
      <c r="I191" s="684" t="str">
        <f t="shared" si="14"/>
        <v/>
      </c>
      <c r="J191" s="685">
        <f t="shared" si="15"/>
        <v>0</v>
      </c>
      <c r="K191" s="1260"/>
      <c r="L191" s="1253"/>
      <c r="M191" s="1259"/>
      <c r="N191" s="719"/>
      <c r="O191" s="720"/>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18"/>
        <v>0</v>
      </c>
      <c r="AQ191" s="42"/>
      <c r="AR191" s="42"/>
      <c r="AS191" s="42"/>
      <c r="AT191" s="43"/>
      <c r="AU191" s="687">
        <f t="shared" si="19"/>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6"/>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0"/>
        <v>0</v>
      </c>
      <c r="DO191" s="683"/>
    </row>
    <row r="192" spans="1:119" ht="25.5" customHeight="1" thickTop="1" thickBot="1" x14ac:dyDescent="0.25">
      <c r="A192" s="676">
        <f t="shared" si="17"/>
        <v>177</v>
      </c>
      <c r="B192" s="1054"/>
      <c r="C192" s="1055"/>
      <c r="D192" s="83"/>
      <c r="E192" s="954"/>
      <c r="F192" s="52"/>
      <c r="G192" s="103"/>
      <c r="H192" s="1058"/>
      <c r="I192" s="684" t="str">
        <f t="shared" si="14"/>
        <v/>
      </c>
      <c r="J192" s="685">
        <f t="shared" si="15"/>
        <v>0</v>
      </c>
      <c r="K192" s="1260"/>
      <c r="L192" s="1253"/>
      <c r="M192" s="1259"/>
      <c r="N192" s="719"/>
      <c r="O192" s="720"/>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18"/>
        <v>0</v>
      </c>
      <c r="AQ192" s="42"/>
      <c r="AR192" s="42"/>
      <c r="AS192" s="42"/>
      <c r="AT192" s="43"/>
      <c r="AU192" s="687">
        <f t="shared" si="19"/>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6"/>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0"/>
        <v>0</v>
      </c>
      <c r="DO192" s="683"/>
    </row>
    <row r="193" spans="1:119" ht="25.5" customHeight="1" thickTop="1" thickBot="1" x14ac:dyDescent="0.25">
      <c r="A193" s="676">
        <f t="shared" si="17"/>
        <v>178</v>
      </c>
      <c r="B193" s="1054"/>
      <c r="C193" s="1055"/>
      <c r="D193" s="83"/>
      <c r="E193" s="954"/>
      <c r="F193" s="52"/>
      <c r="G193" s="103"/>
      <c r="H193" s="1058"/>
      <c r="I193" s="684" t="str">
        <f t="shared" si="14"/>
        <v/>
      </c>
      <c r="J193" s="685">
        <f t="shared" si="15"/>
        <v>0</v>
      </c>
      <c r="K193" s="1260"/>
      <c r="L193" s="1253"/>
      <c r="M193" s="1259"/>
      <c r="N193" s="719"/>
      <c r="O193" s="720"/>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18"/>
        <v>0</v>
      </c>
      <c r="AQ193" s="42"/>
      <c r="AR193" s="42"/>
      <c r="AS193" s="42"/>
      <c r="AT193" s="43"/>
      <c r="AU193" s="687">
        <f t="shared" si="19"/>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6"/>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0"/>
        <v>0</v>
      </c>
      <c r="DO193" s="683"/>
    </row>
    <row r="194" spans="1:119" ht="25.5" customHeight="1" thickTop="1" thickBot="1" x14ac:dyDescent="0.25">
      <c r="A194" s="676">
        <f t="shared" si="17"/>
        <v>179</v>
      </c>
      <c r="B194" s="1054"/>
      <c r="C194" s="1055"/>
      <c r="D194" s="83"/>
      <c r="E194" s="954"/>
      <c r="F194" s="52"/>
      <c r="G194" s="103"/>
      <c r="H194" s="1058"/>
      <c r="I194" s="684" t="str">
        <f t="shared" si="14"/>
        <v/>
      </c>
      <c r="J194" s="685">
        <f t="shared" si="15"/>
        <v>0</v>
      </c>
      <c r="K194" s="1260"/>
      <c r="L194" s="1253"/>
      <c r="M194" s="1259"/>
      <c r="N194" s="719"/>
      <c r="O194" s="720"/>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18"/>
        <v>0</v>
      </c>
      <c r="AQ194" s="42"/>
      <c r="AR194" s="42"/>
      <c r="AS194" s="42"/>
      <c r="AT194" s="43"/>
      <c r="AU194" s="687">
        <f t="shared" si="19"/>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6"/>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0"/>
        <v>0</v>
      </c>
      <c r="DO194" s="683"/>
    </row>
    <row r="195" spans="1:119" ht="25.5" customHeight="1" thickTop="1" thickBot="1" x14ac:dyDescent="0.25">
      <c r="A195" s="676">
        <f t="shared" si="17"/>
        <v>180</v>
      </c>
      <c r="B195" s="1054"/>
      <c r="C195" s="1055"/>
      <c r="D195" s="83"/>
      <c r="E195" s="954"/>
      <c r="F195" s="52"/>
      <c r="G195" s="103"/>
      <c r="H195" s="1058"/>
      <c r="I195" s="684" t="str">
        <f t="shared" si="14"/>
        <v/>
      </c>
      <c r="J195" s="685">
        <f t="shared" si="15"/>
        <v>0</v>
      </c>
      <c r="K195" s="1260"/>
      <c r="L195" s="1253"/>
      <c r="M195" s="1259"/>
      <c r="N195" s="719"/>
      <c r="O195" s="720"/>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18"/>
        <v>0</v>
      </c>
      <c r="AQ195" s="42"/>
      <c r="AR195" s="42"/>
      <c r="AS195" s="42"/>
      <c r="AT195" s="43"/>
      <c r="AU195" s="687">
        <f t="shared" si="19"/>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6"/>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0"/>
        <v>0</v>
      </c>
      <c r="DO195" s="683"/>
    </row>
    <row r="196" spans="1:119" ht="25.5" customHeight="1" thickTop="1" thickBot="1" x14ac:dyDescent="0.25">
      <c r="A196" s="676">
        <f t="shared" si="17"/>
        <v>181</v>
      </c>
      <c r="B196" s="1054"/>
      <c r="C196" s="1055"/>
      <c r="D196" s="83"/>
      <c r="E196" s="954"/>
      <c r="F196" s="52"/>
      <c r="G196" s="103"/>
      <c r="H196" s="1058"/>
      <c r="I196" s="684" t="str">
        <f t="shared" si="14"/>
        <v/>
      </c>
      <c r="J196" s="685">
        <f t="shared" si="15"/>
        <v>0</v>
      </c>
      <c r="K196" s="1260"/>
      <c r="L196" s="1253"/>
      <c r="M196" s="1259"/>
      <c r="N196" s="719"/>
      <c r="O196" s="720"/>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18"/>
        <v>0</v>
      </c>
      <c r="AQ196" s="42"/>
      <c r="AR196" s="42"/>
      <c r="AS196" s="42"/>
      <c r="AT196" s="43"/>
      <c r="AU196" s="687">
        <f t="shared" si="19"/>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6"/>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0"/>
        <v>0</v>
      </c>
      <c r="DO196" s="683"/>
    </row>
    <row r="197" spans="1:119" ht="25.5" customHeight="1" thickTop="1" thickBot="1" x14ac:dyDescent="0.25">
      <c r="A197" s="676">
        <f t="shared" si="17"/>
        <v>182</v>
      </c>
      <c r="B197" s="1054"/>
      <c r="C197" s="1055"/>
      <c r="D197" s="83"/>
      <c r="E197" s="954"/>
      <c r="F197" s="52"/>
      <c r="G197" s="103"/>
      <c r="H197" s="1058"/>
      <c r="I197" s="684" t="str">
        <f t="shared" si="14"/>
        <v/>
      </c>
      <c r="J197" s="685">
        <f t="shared" si="15"/>
        <v>0</v>
      </c>
      <c r="K197" s="1260"/>
      <c r="L197" s="1253"/>
      <c r="M197" s="1259"/>
      <c r="N197" s="719"/>
      <c r="O197" s="720"/>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18"/>
        <v>0</v>
      </c>
      <c r="AQ197" s="42"/>
      <c r="AR197" s="42"/>
      <c r="AS197" s="42"/>
      <c r="AT197" s="43"/>
      <c r="AU197" s="687">
        <f t="shared" si="19"/>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6"/>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0"/>
        <v>0</v>
      </c>
      <c r="DO197" s="683"/>
    </row>
    <row r="198" spans="1:119" ht="25.5" customHeight="1" thickTop="1" thickBot="1" x14ac:dyDescent="0.25">
      <c r="A198" s="676">
        <f t="shared" si="17"/>
        <v>183</v>
      </c>
      <c r="B198" s="1054"/>
      <c r="C198" s="1055"/>
      <c r="D198" s="83"/>
      <c r="E198" s="954"/>
      <c r="F198" s="52"/>
      <c r="G198" s="103"/>
      <c r="H198" s="1058"/>
      <c r="I198" s="684" t="str">
        <f t="shared" si="14"/>
        <v/>
      </c>
      <c r="J198" s="685">
        <f t="shared" si="15"/>
        <v>0</v>
      </c>
      <c r="K198" s="1260"/>
      <c r="L198" s="1253"/>
      <c r="M198" s="1259"/>
      <c r="N198" s="719"/>
      <c r="O198" s="720"/>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18"/>
        <v>0</v>
      </c>
      <c r="AQ198" s="42"/>
      <c r="AR198" s="42"/>
      <c r="AS198" s="42"/>
      <c r="AT198" s="43"/>
      <c r="AU198" s="687">
        <f t="shared" si="19"/>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6"/>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0"/>
        <v>0</v>
      </c>
      <c r="DO198" s="683"/>
    </row>
    <row r="199" spans="1:119" ht="25.5" customHeight="1" thickTop="1" thickBot="1" x14ac:dyDescent="0.25">
      <c r="A199" s="676">
        <f t="shared" si="17"/>
        <v>184</v>
      </c>
      <c r="B199" s="1054"/>
      <c r="C199" s="1055"/>
      <c r="D199" s="83"/>
      <c r="E199" s="954"/>
      <c r="F199" s="52"/>
      <c r="G199" s="103"/>
      <c r="H199" s="1058"/>
      <c r="I199" s="684" t="str">
        <f t="shared" si="14"/>
        <v/>
      </c>
      <c r="J199" s="685">
        <f t="shared" si="15"/>
        <v>0</v>
      </c>
      <c r="K199" s="1260"/>
      <c r="L199" s="1253"/>
      <c r="M199" s="1259"/>
      <c r="N199" s="719"/>
      <c r="O199" s="720"/>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18"/>
        <v>0</v>
      </c>
      <c r="AQ199" s="42"/>
      <c r="AR199" s="42"/>
      <c r="AS199" s="42"/>
      <c r="AT199" s="43"/>
      <c r="AU199" s="687">
        <f t="shared" si="19"/>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6"/>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0"/>
        <v>0</v>
      </c>
      <c r="DO199" s="683"/>
    </row>
    <row r="200" spans="1:119" ht="25.5" customHeight="1" thickTop="1" thickBot="1" x14ac:dyDescent="0.25">
      <c r="A200" s="676">
        <f t="shared" si="17"/>
        <v>185</v>
      </c>
      <c r="B200" s="1054"/>
      <c r="C200" s="1055"/>
      <c r="D200" s="83"/>
      <c r="E200" s="954"/>
      <c r="F200" s="52"/>
      <c r="G200" s="103"/>
      <c r="H200" s="1058"/>
      <c r="I200" s="684" t="str">
        <f t="shared" si="14"/>
        <v/>
      </c>
      <c r="J200" s="685">
        <f t="shared" si="15"/>
        <v>0</v>
      </c>
      <c r="K200" s="1260"/>
      <c r="L200" s="1253"/>
      <c r="M200" s="1259"/>
      <c r="N200" s="719"/>
      <c r="O200" s="720"/>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18"/>
        <v>0</v>
      </c>
      <c r="AQ200" s="42"/>
      <c r="AR200" s="42"/>
      <c r="AS200" s="42"/>
      <c r="AT200" s="43"/>
      <c r="AU200" s="687">
        <f t="shared" si="19"/>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6"/>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0"/>
        <v>0</v>
      </c>
      <c r="DO200" s="683"/>
    </row>
    <row r="201" spans="1:119" ht="25.5" customHeight="1" thickTop="1" thickBot="1" x14ac:dyDescent="0.25">
      <c r="A201" s="676">
        <f t="shared" si="17"/>
        <v>186</v>
      </c>
      <c r="B201" s="1054"/>
      <c r="C201" s="1055"/>
      <c r="D201" s="83"/>
      <c r="E201" s="954"/>
      <c r="F201" s="52"/>
      <c r="G201" s="103"/>
      <c r="H201" s="1058"/>
      <c r="I201" s="684" t="str">
        <f t="shared" si="14"/>
        <v/>
      </c>
      <c r="J201" s="685">
        <f t="shared" si="15"/>
        <v>0</v>
      </c>
      <c r="K201" s="1260"/>
      <c r="L201" s="1253"/>
      <c r="M201" s="1259"/>
      <c r="N201" s="719"/>
      <c r="O201" s="720"/>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18"/>
        <v>0</v>
      </c>
      <c r="AQ201" s="42"/>
      <c r="AR201" s="42"/>
      <c r="AS201" s="42"/>
      <c r="AT201" s="43"/>
      <c r="AU201" s="687">
        <f t="shared" si="19"/>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6"/>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0"/>
        <v>0</v>
      </c>
      <c r="DO201" s="683"/>
    </row>
    <row r="202" spans="1:119" ht="25.5" customHeight="1" thickTop="1" thickBot="1" x14ac:dyDescent="0.25">
      <c r="A202" s="676">
        <f t="shared" si="17"/>
        <v>187</v>
      </c>
      <c r="B202" s="1054"/>
      <c r="C202" s="1055"/>
      <c r="D202" s="83"/>
      <c r="E202" s="954"/>
      <c r="F202" s="52"/>
      <c r="G202" s="103"/>
      <c r="H202" s="1058"/>
      <c r="I202" s="684" t="str">
        <f t="shared" si="14"/>
        <v/>
      </c>
      <c r="J202" s="685">
        <f t="shared" si="15"/>
        <v>0</v>
      </c>
      <c r="K202" s="1260"/>
      <c r="L202" s="1253"/>
      <c r="M202" s="1259"/>
      <c r="N202" s="719"/>
      <c r="O202" s="720"/>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18"/>
        <v>0</v>
      </c>
      <c r="AQ202" s="42"/>
      <c r="AR202" s="42"/>
      <c r="AS202" s="42"/>
      <c r="AT202" s="43"/>
      <c r="AU202" s="687">
        <f t="shared" si="19"/>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6"/>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0"/>
        <v>0</v>
      </c>
      <c r="DO202" s="683"/>
    </row>
    <row r="203" spans="1:119" ht="25.5" customHeight="1" thickTop="1" thickBot="1" x14ac:dyDescent="0.25">
      <c r="A203" s="676">
        <f t="shared" si="17"/>
        <v>188</v>
      </c>
      <c r="B203" s="1054"/>
      <c r="C203" s="1055"/>
      <c r="D203" s="83"/>
      <c r="E203" s="954"/>
      <c r="F203" s="52"/>
      <c r="G203" s="103"/>
      <c r="H203" s="1058"/>
      <c r="I203" s="684" t="str">
        <f t="shared" si="14"/>
        <v/>
      </c>
      <c r="J203" s="685">
        <f t="shared" si="15"/>
        <v>0</v>
      </c>
      <c r="K203" s="1260"/>
      <c r="L203" s="1253"/>
      <c r="M203" s="1259"/>
      <c r="N203" s="719"/>
      <c r="O203" s="720"/>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18"/>
        <v>0</v>
      </c>
      <c r="AQ203" s="42"/>
      <c r="AR203" s="42"/>
      <c r="AS203" s="42"/>
      <c r="AT203" s="43"/>
      <c r="AU203" s="687">
        <f t="shared" si="19"/>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6"/>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0"/>
        <v>0</v>
      </c>
      <c r="DO203" s="683"/>
    </row>
    <row r="204" spans="1:119" ht="25.5" customHeight="1" thickTop="1" thickBot="1" x14ac:dyDescent="0.25">
      <c r="A204" s="676">
        <f t="shared" si="17"/>
        <v>189</v>
      </c>
      <c r="B204" s="1054"/>
      <c r="C204" s="1055"/>
      <c r="D204" s="83"/>
      <c r="E204" s="954"/>
      <c r="F204" s="52"/>
      <c r="G204" s="103"/>
      <c r="H204" s="1058"/>
      <c r="I204" s="684" t="str">
        <f t="shared" si="14"/>
        <v/>
      </c>
      <c r="J204" s="685">
        <f t="shared" si="15"/>
        <v>0</v>
      </c>
      <c r="K204" s="1260"/>
      <c r="L204" s="1253"/>
      <c r="M204" s="1259"/>
      <c r="N204" s="719"/>
      <c r="O204" s="720"/>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18"/>
        <v>0</v>
      </c>
      <c r="AQ204" s="42"/>
      <c r="AR204" s="42"/>
      <c r="AS204" s="42"/>
      <c r="AT204" s="43"/>
      <c r="AU204" s="687">
        <f t="shared" si="19"/>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6"/>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0"/>
        <v>0</v>
      </c>
      <c r="DO204" s="683"/>
    </row>
    <row r="205" spans="1:119" ht="25.5" customHeight="1" thickTop="1" thickBot="1" x14ac:dyDescent="0.25">
      <c r="A205" s="676">
        <f t="shared" si="17"/>
        <v>190</v>
      </c>
      <c r="B205" s="1054"/>
      <c r="C205" s="1055"/>
      <c r="D205" s="83"/>
      <c r="E205" s="954"/>
      <c r="F205" s="52"/>
      <c r="G205" s="103"/>
      <c r="H205" s="1058"/>
      <c r="I205" s="684" t="str">
        <f t="shared" si="14"/>
        <v/>
      </c>
      <c r="J205" s="685">
        <f t="shared" si="15"/>
        <v>0</v>
      </c>
      <c r="K205" s="1260"/>
      <c r="L205" s="1253"/>
      <c r="M205" s="1259"/>
      <c r="N205" s="719"/>
      <c r="O205" s="720"/>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18"/>
        <v>0</v>
      </c>
      <c r="AQ205" s="42"/>
      <c r="AR205" s="42"/>
      <c r="AS205" s="42"/>
      <c r="AT205" s="43"/>
      <c r="AU205" s="687">
        <f t="shared" si="19"/>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6"/>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0"/>
        <v>0</v>
      </c>
      <c r="DO205" s="683"/>
    </row>
    <row r="206" spans="1:119" ht="25.5" customHeight="1" thickTop="1" thickBot="1" x14ac:dyDescent="0.25">
      <c r="A206" s="676">
        <f t="shared" si="17"/>
        <v>191</v>
      </c>
      <c r="B206" s="1054"/>
      <c r="C206" s="1055"/>
      <c r="D206" s="83"/>
      <c r="E206" s="954"/>
      <c r="F206" s="52"/>
      <c r="G206" s="103"/>
      <c r="H206" s="1058"/>
      <c r="I206" s="684" t="str">
        <f t="shared" si="14"/>
        <v/>
      </c>
      <c r="J206" s="685">
        <f t="shared" si="15"/>
        <v>0</v>
      </c>
      <c r="K206" s="1260"/>
      <c r="L206" s="1253"/>
      <c r="M206" s="1259"/>
      <c r="N206" s="719"/>
      <c r="O206" s="720"/>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18"/>
        <v>0</v>
      </c>
      <c r="AQ206" s="42"/>
      <c r="AR206" s="42"/>
      <c r="AS206" s="42"/>
      <c r="AT206" s="43"/>
      <c r="AU206" s="687">
        <f t="shared" si="19"/>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6"/>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0"/>
        <v>0</v>
      </c>
      <c r="DO206" s="683"/>
    </row>
    <row r="207" spans="1:119" ht="25.5" customHeight="1" thickTop="1" thickBot="1" x14ac:dyDescent="0.25">
      <c r="A207" s="676">
        <f t="shared" si="17"/>
        <v>192</v>
      </c>
      <c r="B207" s="1054"/>
      <c r="C207" s="1055"/>
      <c r="D207" s="83"/>
      <c r="E207" s="954"/>
      <c r="F207" s="52"/>
      <c r="G207" s="103"/>
      <c r="H207" s="1058"/>
      <c r="I207" s="684" t="str">
        <f t="shared" si="14"/>
        <v/>
      </c>
      <c r="J207" s="685">
        <f t="shared" si="15"/>
        <v>0</v>
      </c>
      <c r="K207" s="1260"/>
      <c r="L207" s="1253"/>
      <c r="M207" s="1259"/>
      <c r="N207" s="719"/>
      <c r="O207" s="720"/>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18"/>
        <v>0</v>
      </c>
      <c r="AQ207" s="42"/>
      <c r="AR207" s="42"/>
      <c r="AS207" s="42"/>
      <c r="AT207" s="43"/>
      <c r="AU207" s="687">
        <f t="shared" si="19"/>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6"/>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0"/>
        <v>0</v>
      </c>
      <c r="DO207" s="683"/>
    </row>
    <row r="208" spans="1:119" ht="25.5" customHeight="1" thickTop="1" thickBot="1" x14ac:dyDescent="0.25">
      <c r="A208" s="676">
        <f t="shared" si="17"/>
        <v>193</v>
      </c>
      <c r="B208" s="1054"/>
      <c r="C208" s="1055"/>
      <c r="D208" s="83"/>
      <c r="E208" s="954"/>
      <c r="F208" s="52"/>
      <c r="G208" s="103"/>
      <c r="H208" s="1058"/>
      <c r="I208" s="684" t="str">
        <f t="shared" ref="I208:I271" si="21">LEFT(H208,4)</f>
        <v/>
      </c>
      <c r="J208" s="685">
        <f t="shared" ref="J208:J271" si="22">G208-DN208</f>
        <v>0</v>
      </c>
      <c r="K208" s="1260"/>
      <c r="L208" s="1253"/>
      <c r="M208" s="1259"/>
      <c r="N208" s="719"/>
      <c r="O208" s="720"/>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18"/>
        <v>0</v>
      </c>
      <c r="AQ208" s="42"/>
      <c r="AR208" s="42"/>
      <c r="AS208" s="42"/>
      <c r="AT208" s="43"/>
      <c r="AU208" s="687">
        <f t="shared" si="19"/>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3">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0"/>
        <v>0</v>
      </c>
      <c r="DO208" s="683"/>
    </row>
    <row r="209" spans="1:119" ht="25.5" customHeight="1" thickTop="1" thickBot="1" x14ac:dyDescent="0.25">
      <c r="A209" s="676">
        <f t="shared" ref="A209:A272" si="24">$A208+1</f>
        <v>194</v>
      </c>
      <c r="B209" s="1054"/>
      <c r="C209" s="1055"/>
      <c r="D209" s="83"/>
      <c r="E209" s="954"/>
      <c r="F209" s="52"/>
      <c r="G209" s="103"/>
      <c r="H209" s="1058"/>
      <c r="I209" s="684" t="str">
        <f t="shared" si="21"/>
        <v/>
      </c>
      <c r="J209" s="685">
        <f t="shared" si="22"/>
        <v>0</v>
      </c>
      <c r="K209" s="1260"/>
      <c r="L209" s="1253"/>
      <c r="M209" s="1259"/>
      <c r="N209" s="719"/>
      <c r="O209" s="720"/>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5">SUM(AQ209:AT209)</f>
        <v>0</v>
      </c>
      <c r="AQ209" s="42"/>
      <c r="AR209" s="42"/>
      <c r="AS209" s="42"/>
      <c r="AT209" s="43"/>
      <c r="AU209" s="687">
        <f t="shared" ref="AU209:AU272" si="26">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3"/>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27">SUM(P209:AP209,AU209,AZ209:BW209,CE209:DM209)</f>
        <v>0</v>
      </c>
      <c r="DO209" s="683"/>
    </row>
    <row r="210" spans="1:119" ht="25.5" customHeight="1" thickTop="1" thickBot="1" x14ac:dyDescent="0.25">
      <c r="A210" s="676">
        <f t="shared" si="24"/>
        <v>195</v>
      </c>
      <c r="B210" s="1054"/>
      <c r="C210" s="1055"/>
      <c r="D210" s="83"/>
      <c r="E210" s="954"/>
      <c r="F210" s="52"/>
      <c r="G210" s="103"/>
      <c r="H210" s="1058"/>
      <c r="I210" s="684" t="str">
        <f t="shared" si="21"/>
        <v/>
      </c>
      <c r="J210" s="685">
        <f t="shared" si="22"/>
        <v>0</v>
      </c>
      <c r="K210" s="1260"/>
      <c r="L210" s="1253"/>
      <c r="M210" s="1259"/>
      <c r="N210" s="719"/>
      <c r="O210" s="720"/>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5"/>
        <v>0</v>
      </c>
      <c r="AQ210" s="42"/>
      <c r="AR210" s="42"/>
      <c r="AS210" s="42"/>
      <c r="AT210" s="43"/>
      <c r="AU210" s="687">
        <f t="shared" si="26"/>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3"/>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27"/>
        <v>0</v>
      </c>
      <c r="DO210" s="683"/>
    </row>
    <row r="211" spans="1:119" ht="25.5" customHeight="1" thickTop="1" thickBot="1" x14ac:dyDescent="0.25">
      <c r="A211" s="676">
        <f t="shared" si="24"/>
        <v>196</v>
      </c>
      <c r="B211" s="1054"/>
      <c r="C211" s="1055"/>
      <c r="D211" s="83"/>
      <c r="E211" s="954"/>
      <c r="F211" s="52"/>
      <c r="G211" s="103"/>
      <c r="H211" s="1058"/>
      <c r="I211" s="684" t="str">
        <f t="shared" si="21"/>
        <v/>
      </c>
      <c r="J211" s="685">
        <f t="shared" si="22"/>
        <v>0</v>
      </c>
      <c r="K211" s="1260"/>
      <c r="L211" s="1253"/>
      <c r="M211" s="1259"/>
      <c r="N211" s="719"/>
      <c r="O211" s="720"/>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5"/>
        <v>0</v>
      </c>
      <c r="AQ211" s="42"/>
      <c r="AR211" s="42"/>
      <c r="AS211" s="42"/>
      <c r="AT211" s="43"/>
      <c r="AU211" s="687">
        <f t="shared" si="26"/>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3"/>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27"/>
        <v>0</v>
      </c>
      <c r="DO211" s="683"/>
    </row>
    <row r="212" spans="1:119" ht="25.5" customHeight="1" thickTop="1" thickBot="1" x14ac:dyDescent="0.25">
      <c r="A212" s="676">
        <f t="shared" si="24"/>
        <v>197</v>
      </c>
      <c r="B212" s="1054"/>
      <c r="C212" s="1055"/>
      <c r="D212" s="83"/>
      <c r="E212" s="954"/>
      <c r="F212" s="52"/>
      <c r="G212" s="103"/>
      <c r="H212" s="1058"/>
      <c r="I212" s="684" t="str">
        <f t="shared" si="21"/>
        <v/>
      </c>
      <c r="J212" s="685">
        <f t="shared" si="22"/>
        <v>0</v>
      </c>
      <c r="K212" s="1260"/>
      <c r="L212" s="1253"/>
      <c r="M212" s="1259"/>
      <c r="N212" s="719"/>
      <c r="O212" s="720"/>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5"/>
        <v>0</v>
      </c>
      <c r="AQ212" s="42"/>
      <c r="AR212" s="42"/>
      <c r="AS212" s="42"/>
      <c r="AT212" s="43"/>
      <c r="AU212" s="687">
        <f t="shared" si="26"/>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3"/>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27"/>
        <v>0</v>
      </c>
      <c r="DO212" s="683"/>
    </row>
    <row r="213" spans="1:119" ht="25.5" customHeight="1" thickTop="1" thickBot="1" x14ac:dyDescent="0.25">
      <c r="A213" s="676">
        <f t="shared" si="24"/>
        <v>198</v>
      </c>
      <c r="B213" s="1054"/>
      <c r="C213" s="1055"/>
      <c r="D213" s="83"/>
      <c r="E213" s="954"/>
      <c r="F213" s="52"/>
      <c r="G213" s="103"/>
      <c r="H213" s="1058"/>
      <c r="I213" s="684" t="str">
        <f t="shared" si="21"/>
        <v/>
      </c>
      <c r="J213" s="685">
        <f t="shared" si="22"/>
        <v>0</v>
      </c>
      <c r="K213" s="1260"/>
      <c r="L213" s="1253"/>
      <c r="M213" s="1259"/>
      <c r="N213" s="719"/>
      <c r="O213" s="720"/>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5"/>
        <v>0</v>
      </c>
      <c r="AQ213" s="42"/>
      <c r="AR213" s="42"/>
      <c r="AS213" s="42"/>
      <c r="AT213" s="43"/>
      <c r="AU213" s="687">
        <f t="shared" si="26"/>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3"/>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27"/>
        <v>0</v>
      </c>
      <c r="DO213" s="683"/>
    </row>
    <row r="214" spans="1:119" ht="25.5" customHeight="1" thickTop="1" thickBot="1" x14ac:dyDescent="0.25">
      <c r="A214" s="676">
        <f t="shared" si="24"/>
        <v>199</v>
      </c>
      <c r="B214" s="1054"/>
      <c r="C214" s="1055"/>
      <c r="D214" s="83"/>
      <c r="E214" s="954"/>
      <c r="F214" s="52"/>
      <c r="G214" s="103"/>
      <c r="H214" s="1058"/>
      <c r="I214" s="684" t="str">
        <f t="shared" si="21"/>
        <v/>
      </c>
      <c r="J214" s="685">
        <f t="shared" si="22"/>
        <v>0</v>
      </c>
      <c r="K214" s="1260"/>
      <c r="L214" s="1253"/>
      <c r="M214" s="1259"/>
      <c r="N214" s="719"/>
      <c r="O214" s="720"/>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5"/>
        <v>0</v>
      </c>
      <c r="AQ214" s="42"/>
      <c r="AR214" s="42"/>
      <c r="AS214" s="42"/>
      <c r="AT214" s="43"/>
      <c r="AU214" s="687">
        <f t="shared" si="26"/>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3"/>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27"/>
        <v>0</v>
      </c>
      <c r="DO214" s="683"/>
    </row>
    <row r="215" spans="1:119" ht="25.5" customHeight="1" thickTop="1" thickBot="1" x14ac:dyDescent="0.25">
      <c r="A215" s="676">
        <f t="shared" si="24"/>
        <v>200</v>
      </c>
      <c r="B215" s="1054"/>
      <c r="C215" s="1055"/>
      <c r="D215" s="83"/>
      <c r="E215" s="954"/>
      <c r="F215" s="52"/>
      <c r="G215" s="103"/>
      <c r="H215" s="1058"/>
      <c r="I215" s="684" t="str">
        <f t="shared" si="21"/>
        <v/>
      </c>
      <c r="J215" s="685">
        <f t="shared" si="22"/>
        <v>0</v>
      </c>
      <c r="K215" s="1260"/>
      <c r="L215" s="1253"/>
      <c r="M215" s="1259"/>
      <c r="N215" s="719"/>
      <c r="O215" s="720"/>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5"/>
        <v>0</v>
      </c>
      <c r="AQ215" s="42"/>
      <c r="AR215" s="42"/>
      <c r="AS215" s="42"/>
      <c r="AT215" s="43"/>
      <c r="AU215" s="687">
        <f t="shared" si="26"/>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3"/>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27"/>
        <v>0</v>
      </c>
      <c r="DO215" s="683"/>
    </row>
    <row r="216" spans="1:119" ht="25.5" customHeight="1" thickTop="1" thickBot="1" x14ac:dyDescent="0.25">
      <c r="A216" s="676">
        <f t="shared" si="24"/>
        <v>201</v>
      </c>
      <c r="B216" s="1054"/>
      <c r="C216" s="1055"/>
      <c r="D216" s="83"/>
      <c r="E216" s="954"/>
      <c r="F216" s="52"/>
      <c r="G216" s="103"/>
      <c r="H216" s="1058"/>
      <c r="I216" s="684" t="str">
        <f t="shared" si="21"/>
        <v/>
      </c>
      <c r="J216" s="685">
        <f t="shared" si="22"/>
        <v>0</v>
      </c>
      <c r="K216" s="1260"/>
      <c r="L216" s="1253"/>
      <c r="M216" s="1259"/>
      <c r="N216" s="719"/>
      <c r="O216" s="720"/>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5"/>
        <v>0</v>
      </c>
      <c r="AQ216" s="42"/>
      <c r="AR216" s="42"/>
      <c r="AS216" s="42"/>
      <c r="AT216" s="43"/>
      <c r="AU216" s="687">
        <f t="shared" si="26"/>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3"/>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27"/>
        <v>0</v>
      </c>
      <c r="DO216" s="683"/>
    </row>
    <row r="217" spans="1:119" ht="25.5" customHeight="1" thickTop="1" thickBot="1" x14ac:dyDescent="0.25">
      <c r="A217" s="676">
        <f t="shared" si="24"/>
        <v>202</v>
      </c>
      <c r="B217" s="1054"/>
      <c r="C217" s="1055"/>
      <c r="D217" s="83"/>
      <c r="E217" s="954"/>
      <c r="F217" s="52"/>
      <c r="G217" s="103"/>
      <c r="H217" s="1058"/>
      <c r="I217" s="684" t="str">
        <f t="shared" si="21"/>
        <v/>
      </c>
      <c r="J217" s="685">
        <f t="shared" si="22"/>
        <v>0</v>
      </c>
      <c r="K217" s="1260"/>
      <c r="L217" s="1253"/>
      <c r="M217" s="1259"/>
      <c r="N217" s="719"/>
      <c r="O217" s="720"/>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5"/>
        <v>0</v>
      </c>
      <c r="AQ217" s="42"/>
      <c r="AR217" s="42"/>
      <c r="AS217" s="42"/>
      <c r="AT217" s="43"/>
      <c r="AU217" s="687">
        <f t="shared" si="26"/>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3"/>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27"/>
        <v>0</v>
      </c>
      <c r="DO217" s="683"/>
    </row>
    <row r="218" spans="1:119" ht="25.5" customHeight="1" thickTop="1" thickBot="1" x14ac:dyDescent="0.25">
      <c r="A218" s="676">
        <f t="shared" si="24"/>
        <v>203</v>
      </c>
      <c r="B218" s="1054"/>
      <c r="C218" s="1055"/>
      <c r="D218" s="83"/>
      <c r="E218" s="954"/>
      <c r="F218" s="52"/>
      <c r="G218" s="103"/>
      <c r="H218" s="1058"/>
      <c r="I218" s="684" t="str">
        <f t="shared" si="21"/>
        <v/>
      </c>
      <c r="J218" s="685">
        <f t="shared" si="22"/>
        <v>0</v>
      </c>
      <c r="K218" s="1260"/>
      <c r="L218" s="1253"/>
      <c r="M218" s="1259"/>
      <c r="N218" s="719"/>
      <c r="O218" s="720"/>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5"/>
        <v>0</v>
      </c>
      <c r="AQ218" s="42"/>
      <c r="AR218" s="42"/>
      <c r="AS218" s="42"/>
      <c r="AT218" s="43"/>
      <c r="AU218" s="687">
        <f t="shared" si="26"/>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3"/>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27"/>
        <v>0</v>
      </c>
      <c r="DO218" s="683"/>
    </row>
    <row r="219" spans="1:119" ht="25.5" customHeight="1" thickTop="1" thickBot="1" x14ac:dyDescent="0.25">
      <c r="A219" s="676">
        <f t="shared" si="24"/>
        <v>204</v>
      </c>
      <c r="B219" s="1054"/>
      <c r="C219" s="1055"/>
      <c r="D219" s="83"/>
      <c r="E219" s="954"/>
      <c r="F219" s="52"/>
      <c r="G219" s="103"/>
      <c r="H219" s="1058"/>
      <c r="I219" s="684" t="str">
        <f t="shared" si="21"/>
        <v/>
      </c>
      <c r="J219" s="685">
        <f t="shared" si="22"/>
        <v>0</v>
      </c>
      <c r="K219" s="1260"/>
      <c r="L219" s="1253"/>
      <c r="M219" s="1259"/>
      <c r="N219" s="719"/>
      <c r="O219" s="720"/>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5"/>
        <v>0</v>
      </c>
      <c r="AQ219" s="42"/>
      <c r="AR219" s="42"/>
      <c r="AS219" s="42"/>
      <c r="AT219" s="43"/>
      <c r="AU219" s="687">
        <f t="shared" si="26"/>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3"/>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27"/>
        <v>0</v>
      </c>
      <c r="DO219" s="683"/>
    </row>
    <row r="220" spans="1:119" ht="25.5" customHeight="1" thickTop="1" thickBot="1" x14ac:dyDescent="0.25">
      <c r="A220" s="676">
        <f t="shared" si="24"/>
        <v>205</v>
      </c>
      <c r="B220" s="1054"/>
      <c r="C220" s="1055"/>
      <c r="D220" s="83"/>
      <c r="E220" s="954"/>
      <c r="F220" s="52"/>
      <c r="G220" s="103"/>
      <c r="H220" s="1058"/>
      <c r="I220" s="684" t="str">
        <f t="shared" si="21"/>
        <v/>
      </c>
      <c r="J220" s="685">
        <f t="shared" si="22"/>
        <v>0</v>
      </c>
      <c r="K220" s="1260"/>
      <c r="L220" s="1253"/>
      <c r="M220" s="1259"/>
      <c r="N220" s="719"/>
      <c r="O220" s="720"/>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5"/>
        <v>0</v>
      </c>
      <c r="AQ220" s="42"/>
      <c r="AR220" s="42"/>
      <c r="AS220" s="42"/>
      <c r="AT220" s="43"/>
      <c r="AU220" s="687">
        <f t="shared" si="26"/>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3"/>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27"/>
        <v>0</v>
      </c>
      <c r="DO220" s="683"/>
    </row>
    <row r="221" spans="1:119" ht="25.5" customHeight="1" thickTop="1" thickBot="1" x14ac:dyDescent="0.25">
      <c r="A221" s="676">
        <f t="shared" si="24"/>
        <v>206</v>
      </c>
      <c r="B221" s="1054"/>
      <c r="C221" s="1055"/>
      <c r="D221" s="83"/>
      <c r="E221" s="954"/>
      <c r="F221" s="52"/>
      <c r="G221" s="103"/>
      <c r="H221" s="1058"/>
      <c r="I221" s="684" t="str">
        <f t="shared" si="21"/>
        <v/>
      </c>
      <c r="J221" s="685">
        <f t="shared" si="22"/>
        <v>0</v>
      </c>
      <c r="K221" s="1260"/>
      <c r="L221" s="1253"/>
      <c r="M221" s="1259"/>
      <c r="N221" s="719"/>
      <c r="O221" s="720"/>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5"/>
        <v>0</v>
      </c>
      <c r="AQ221" s="42"/>
      <c r="AR221" s="42"/>
      <c r="AS221" s="42"/>
      <c r="AT221" s="43"/>
      <c r="AU221" s="687">
        <f t="shared" si="26"/>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3"/>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27"/>
        <v>0</v>
      </c>
      <c r="DO221" s="683"/>
    </row>
    <row r="222" spans="1:119" ht="25.5" customHeight="1" thickTop="1" thickBot="1" x14ac:dyDescent="0.25">
      <c r="A222" s="676">
        <f t="shared" si="24"/>
        <v>207</v>
      </c>
      <c r="B222" s="1054"/>
      <c r="C222" s="1055"/>
      <c r="D222" s="83"/>
      <c r="E222" s="954"/>
      <c r="F222" s="52"/>
      <c r="G222" s="103"/>
      <c r="H222" s="1058"/>
      <c r="I222" s="684" t="str">
        <f t="shared" si="21"/>
        <v/>
      </c>
      <c r="J222" s="685">
        <f t="shared" si="22"/>
        <v>0</v>
      </c>
      <c r="K222" s="1260"/>
      <c r="L222" s="1253"/>
      <c r="M222" s="1259"/>
      <c r="N222" s="719"/>
      <c r="O222" s="720"/>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5"/>
        <v>0</v>
      </c>
      <c r="AQ222" s="42"/>
      <c r="AR222" s="42"/>
      <c r="AS222" s="42"/>
      <c r="AT222" s="43"/>
      <c r="AU222" s="687">
        <f t="shared" si="26"/>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3"/>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27"/>
        <v>0</v>
      </c>
      <c r="DO222" s="683"/>
    </row>
    <row r="223" spans="1:119" ht="25.5" customHeight="1" thickTop="1" thickBot="1" x14ac:dyDescent="0.25">
      <c r="A223" s="676">
        <f t="shared" si="24"/>
        <v>208</v>
      </c>
      <c r="B223" s="1054"/>
      <c r="C223" s="1055"/>
      <c r="D223" s="83"/>
      <c r="E223" s="954"/>
      <c r="F223" s="52"/>
      <c r="G223" s="103"/>
      <c r="H223" s="1058"/>
      <c r="I223" s="684" t="str">
        <f t="shared" si="21"/>
        <v/>
      </c>
      <c r="J223" s="685">
        <f t="shared" si="22"/>
        <v>0</v>
      </c>
      <c r="K223" s="1260"/>
      <c r="L223" s="1253"/>
      <c r="M223" s="1259"/>
      <c r="N223" s="719"/>
      <c r="O223" s="720"/>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5"/>
        <v>0</v>
      </c>
      <c r="AQ223" s="42"/>
      <c r="AR223" s="42"/>
      <c r="AS223" s="42"/>
      <c r="AT223" s="43"/>
      <c r="AU223" s="687">
        <f t="shared" si="26"/>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3"/>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27"/>
        <v>0</v>
      </c>
      <c r="DO223" s="683"/>
    </row>
    <row r="224" spans="1:119" ht="25.5" customHeight="1" thickTop="1" thickBot="1" x14ac:dyDescent="0.25">
      <c r="A224" s="676">
        <f t="shared" si="24"/>
        <v>209</v>
      </c>
      <c r="B224" s="1054"/>
      <c r="C224" s="1055"/>
      <c r="D224" s="83"/>
      <c r="E224" s="954"/>
      <c r="F224" s="52"/>
      <c r="G224" s="103"/>
      <c r="H224" s="1058"/>
      <c r="I224" s="684" t="str">
        <f t="shared" si="21"/>
        <v/>
      </c>
      <c r="J224" s="685">
        <f t="shared" si="22"/>
        <v>0</v>
      </c>
      <c r="K224" s="1260"/>
      <c r="L224" s="1253"/>
      <c r="M224" s="1259"/>
      <c r="N224" s="719"/>
      <c r="O224" s="720"/>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5"/>
        <v>0</v>
      </c>
      <c r="AQ224" s="42"/>
      <c r="AR224" s="42"/>
      <c r="AS224" s="42"/>
      <c r="AT224" s="43"/>
      <c r="AU224" s="687">
        <f t="shared" si="26"/>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3"/>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27"/>
        <v>0</v>
      </c>
      <c r="DO224" s="683"/>
    </row>
    <row r="225" spans="1:119" ht="25.5" customHeight="1" thickTop="1" thickBot="1" x14ac:dyDescent="0.25">
      <c r="A225" s="676">
        <f t="shared" si="24"/>
        <v>210</v>
      </c>
      <c r="B225" s="1054"/>
      <c r="C225" s="1055"/>
      <c r="D225" s="83"/>
      <c r="E225" s="954"/>
      <c r="F225" s="52"/>
      <c r="G225" s="103"/>
      <c r="H225" s="1058"/>
      <c r="I225" s="684" t="str">
        <f t="shared" si="21"/>
        <v/>
      </c>
      <c r="J225" s="685">
        <f t="shared" si="22"/>
        <v>0</v>
      </c>
      <c r="K225" s="1260"/>
      <c r="L225" s="1253"/>
      <c r="M225" s="1259"/>
      <c r="N225" s="719"/>
      <c r="O225" s="720"/>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5"/>
        <v>0</v>
      </c>
      <c r="AQ225" s="42"/>
      <c r="AR225" s="42"/>
      <c r="AS225" s="42"/>
      <c r="AT225" s="43"/>
      <c r="AU225" s="687">
        <f t="shared" si="26"/>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3"/>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27"/>
        <v>0</v>
      </c>
      <c r="DO225" s="683"/>
    </row>
    <row r="226" spans="1:119" ht="25.5" customHeight="1" thickTop="1" thickBot="1" x14ac:dyDescent="0.25">
      <c r="A226" s="676">
        <f t="shared" si="24"/>
        <v>211</v>
      </c>
      <c r="B226" s="1054"/>
      <c r="C226" s="1055"/>
      <c r="D226" s="83"/>
      <c r="E226" s="954"/>
      <c r="F226" s="52"/>
      <c r="G226" s="103"/>
      <c r="H226" s="1058"/>
      <c r="I226" s="684" t="str">
        <f t="shared" si="21"/>
        <v/>
      </c>
      <c r="J226" s="685">
        <f t="shared" si="22"/>
        <v>0</v>
      </c>
      <c r="K226" s="1260"/>
      <c r="L226" s="1253"/>
      <c r="M226" s="1259"/>
      <c r="N226" s="719"/>
      <c r="O226" s="720"/>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5"/>
        <v>0</v>
      </c>
      <c r="AQ226" s="42"/>
      <c r="AR226" s="42"/>
      <c r="AS226" s="42"/>
      <c r="AT226" s="43"/>
      <c r="AU226" s="687">
        <f t="shared" si="26"/>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3"/>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27"/>
        <v>0</v>
      </c>
      <c r="DO226" s="683"/>
    </row>
    <row r="227" spans="1:119" ht="25.5" customHeight="1" thickTop="1" thickBot="1" x14ac:dyDescent="0.25">
      <c r="A227" s="676">
        <f t="shared" si="24"/>
        <v>212</v>
      </c>
      <c r="B227" s="1054"/>
      <c r="C227" s="1055"/>
      <c r="D227" s="83"/>
      <c r="E227" s="954"/>
      <c r="F227" s="52"/>
      <c r="G227" s="103"/>
      <c r="H227" s="1058"/>
      <c r="I227" s="684" t="str">
        <f t="shared" si="21"/>
        <v/>
      </c>
      <c r="J227" s="685">
        <f t="shared" si="22"/>
        <v>0</v>
      </c>
      <c r="K227" s="1260"/>
      <c r="L227" s="1253"/>
      <c r="M227" s="1259"/>
      <c r="N227" s="719"/>
      <c r="O227" s="720"/>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5"/>
        <v>0</v>
      </c>
      <c r="AQ227" s="42"/>
      <c r="AR227" s="42"/>
      <c r="AS227" s="42"/>
      <c r="AT227" s="43"/>
      <c r="AU227" s="687">
        <f t="shared" si="26"/>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3"/>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27"/>
        <v>0</v>
      </c>
      <c r="DO227" s="683"/>
    </row>
    <row r="228" spans="1:119" ht="25.5" customHeight="1" thickTop="1" thickBot="1" x14ac:dyDescent="0.25">
      <c r="A228" s="676">
        <f t="shared" si="24"/>
        <v>213</v>
      </c>
      <c r="B228" s="1054"/>
      <c r="C228" s="1055"/>
      <c r="D228" s="83"/>
      <c r="E228" s="954"/>
      <c r="F228" s="52"/>
      <c r="G228" s="103"/>
      <c r="H228" s="1058"/>
      <c r="I228" s="684" t="str">
        <f t="shared" si="21"/>
        <v/>
      </c>
      <c r="J228" s="685">
        <f t="shared" si="22"/>
        <v>0</v>
      </c>
      <c r="K228" s="1260"/>
      <c r="L228" s="1253"/>
      <c r="M228" s="1259"/>
      <c r="N228" s="719"/>
      <c r="O228" s="720"/>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5"/>
        <v>0</v>
      </c>
      <c r="AQ228" s="42"/>
      <c r="AR228" s="42"/>
      <c r="AS228" s="42"/>
      <c r="AT228" s="43"/>
      <c r="AU228" s="687">
        <f t="shared" si="26"/>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3"/>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27"/>
        <v>0</v>
      </c>
      <c r="DO228" s="683"/>
    </row>
    <row r="229" spans="1:119" ht="25.5" customHeight="1" thickTop="1" thickBot="1" x14ac:dyDescent="0.25">
      <c r="A229" s="676">
        <f t="shared" si="24"/>
        <v>214</v>
      </c>
      <c r="B229" s="1054"/>
      <c r="C229" s="1055"/>
      <c r="D229" s="83"/>
      <c r="E229" s="954"/>
      <c r="F229" s="52"/>
      <c r="G229" s="103"/>
      <c r="H229" s="1058"/>
      <c r="I229" s="684" t="str">
        <f t="shared" si="21"/>
        <v/>
      </c>
      <c r="J229" s="685">
        <f t="shared" si="22"/>
        <v>0</v>
      </c>
      <c r="K229" s="1260"/>
      <c r="L229" s="1253"/>
      <c r="M229" s="1259"/>
      <c r="N229" s="719"/>
      <c r="O229" s="720"/>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5"/>
        <v>0</v>
      </c>
      <c r="AQ229" s="42"/>
      <c r="AR229" s="42"/>
      <c r="AS229" s="42"/>
      <c r="AT229" s="43"/>
      <c r="AU229" s="687">
        <f t="shared" si="26"/>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3"/>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27"/>
        <v>0</v>
      </c>
      <c r="DO229" s="683"/>
    </row>
    <row r="230" spans="1:119" ht="25.5" customHeight="1" thickTop="1" thickBot="1" x14ac:dyDescent="0.25">
      <c r="A230" s="676">
        <f t="shared" si="24"/>
        <v>215</v>
      </c>
      <c r="B230" s="1054"/>
      <c r="C230" s="1055"/>
      <c r="D230" s="83"/>
      <c r="E230" s="954"/>
      <c r="F230" s="52"/>
      <c r="G230" s="103"/>
      <c r="H230" s="1058"/>
      <c r="I230" s="684" t="str">
        <f t="shared" si="21"/>
        <v/>
      </c>
      <c r="J230" s="685">
        <f t="shared" si="22"/>
        <v>0</v>
      </c>
      <c r="K230" s="1260"/>
      <c r="L230" s="1253"/>
      <c r="M230" s="1259"/>
      <c r="N230" s="719"/>
      <c r="O230" s="720"/>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5"/>
        <v>0</v>
      </c>
      <c r="AQ230" s="42"/>
      <c r="AR230" s="42"/>
      <c r="AS230" s="42"/>
      <c r="AT230" s="43"/>
      <c r="AU230" s="687">
        <f t="shared" si="26"/>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3"/>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27"/>
        <v>0</v>
      </c>
      <c r="DO230" s="683"/>
    </row>
    <row r="231" spans="1:119" ht="25.5" customHeight="1" thickTop="1" thickBot="1" x14ac:dyDescent="0.25">
      <c r="A231" s="676">
        <f t="shared" si="24"/>
        <v>216</v>
      </c>
      <c r="B231" s="1054"/>
      <c r="C231" s="1055"/>
      <c r="D231" s="83"/>
      <c r="E231" s="954"/>
      <c r="F231" s="52"/>
      <c r="G231" s="103"/>
      <c r="H231" s="1058"/>
      <c r="I231" s="684" t="str">
        <f t="shared" si="21"/>
        <v/>
      </c>
      <c r="J231" s="685">
        <f t="shared" si="22"/>
        <v>0</v>
      </c>
      <c r="K231" s="1260"/>
      <c r="L231" s="1253"/>
      <c r="M231" s="1259"/>
      <c r="N231" s="719"/>
      <c r="O231" s="720"/>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5"/>
        <v>0</v>
      </c>
      <c r="AQ231" s="42"/>
      <c r="AR231" s="42"/>
      <c r="AS231" s="42"/>
      <c r="AT231" s="43"/>
      <c r="AU231" s="687">
        <f t="shared" si="26"/>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3"/>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27"/>
        <v>0</v>
      </c>
      <c r="DO231" s="683"/>
    </row>
    <row r="232" spans="1:119" ht="25.5" customHeight="1" thickTop="1" thickBot="1" x14ac:dyDescent="0.25">
      <c r="A232" s="676">
        <f t="shared" si="24"/>
        <v>217</v>
      </c>
      <c r="B232" s="1054"/>
      <c r="C232" s="1055"/>
      <c r="D232" s="83"/>
      <c r="E232" s="954"/>
      <c r="F232" s="52"/>
      <c r="G232" s="103"/>
      <c r="H232" s="1058"/>
      <c r="I232" s="684" t="str">
        <f t="shared" si="21"/>
        <v/>
      </c>
      <c r="J232" s="685">
        <f t="shared" si="22"/>
        <v>0</v>
      </c>
      <c r="K232" s="1260"/>
      <c r="L232" s="1253"/>
      <c r="M232" s="1259"/>
      <c r="N232" s="719"/>
      <c r="O232" s="720"/>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5"/>
        <v>0</v>
      </c>
      <c r="AQ232" s="42"/>
      <c r="AR232" s="42"/>
      <c r="AS232" s="42"/>
      <c r="AT232" s="43"/>
      <c r="AU232" s="687">
        <f t="shared" si="26"/>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3"/>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27"/>
        <v>0</v>
      </c>
      <c r="DO232" s="683"/>
    </row>
    <row r="233" spans="1:119" ht="25.5" customHeight="1" thickTop="1" thickBot="1" x14ac:dyDescent="0.25">
      <c r="A233" s="676">
        <f t="shared" si="24"/>
        <v>218</v>
      </c>
      <c r="B233" s="1054"/>
      <c r="C233" s="1055"/>
      <c r="D233" s="83"/>
      <c r="E233" s="954"/>
      <c r="F233" s="52"/>
      <c r="G233" s="103"/>
      <c r="H233" s="1058"/>
      <c r="I233" s="684" t="str">
        <f t="shared" si="21"/>
        <v/>
      </c>
      <c r="J233" s="685">
        <f t="shared" si="22"/>
        <v>0</v>
      </c>
      <c r="K233" s="1260"/>
      <c r="L233" s="1253"/>
      <c r="M233" s="1259"/>
      <c r="N233" s="719"/>
      <c r="O233" s="720"/>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5"/>
        <v>0</v>
      </c>
      <c r="AQ233" s="42"/>
      <c r="AR233" s="42"/>
      <c r="AS233" s="42"/>
      <c r="AT233" s="43"/>
      <c r="AU233" s="687">
        <f t="shared" si="26"/>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3"/>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27"/>
        <v>0</v>
      </c>
      <c r="DO233" s="683"/>
    </row>
    <row r="234" spans="1:119" ht="25.5" customHeight="1" thickTop="1" thickBot="1" x14ac:dyDescent="0.25">
      <c r="A234" s="676">
        <f t="shared" si="24"/>
        <v>219</v>
      </c>
      <c r="B234" s="1054"/>
      <c r="C234" s="1055"/>
      <c r="D234" s="83"/>
      <c r="E234" s="954"/>
      <c r="F234" s="52"/>
      <c r="G234" s="103"/>
      <c r="H234" s="1058"/>
      <c r="I234" s="684" t="str">
        <f t="shared" si="21"/>
        <v/>
      </c>
      <c r="J234" s="685">
        <f t="shared" si="22"/>
        <v>0</v>
      </c>
      <c r="K234" s="1260"/>
      <c r="L234" s="1253"/>
      <c r="M234" s="1259"/>
      <c r="N234" s="719"/>
      <c r="O234" s="720"/>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5"/>
        <v>0</v>
      </c>
      <c r="AQ234" s="42"/>
      <c r="AR234" s="42"/>
      <c r="AS234" s="42"/>
      <c r="AT234" s="43"/>
      <c r="AU234" s="687">
        <f t="shared" si="26"/>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3"/>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27"/>
        <v>0</v>
      </c>
      <c r="DO234" s="683"/>
    </row>
    <row r="235" spans="1:119" ht="25.5" customHeight="1" thickTop="1" thickBot="1" x14ac:dyDescent="0.25">
      <c r="A235" s="676">
        <f t="shared" si="24"/>
        <v>220</v>
      </c>
      <c r="B235" s="1054"/>
      <c r="C235" s="1055"/>
      <c r="D235" s="83"/>
      <c r="E235" s="954"/>
      <c r="F235" s="52"/>
      <c r="G235" s="103"/>
      <c r="H235" s="1058"/>
      <c r="I235" s="684" t="str">
        <f t="shared" si="21"/>
        <v/>
      </c>
      <c r="J235" s="685">
        <f t="shared" si="22"/>
        <v>0</v>
      </c>
      <c r="K235" s="1260"/>
      <c r="L235" s="1253"/>
      <c r="M235" s="1259"/>
      <c r="N235" s="719"/>
      <c r="O235" s="720"/>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5"/>
        <v>0</v>
      </c>
      <c r="AQ235" s="42"/>
      <c r="AR235" s="42"/>
      <c r="AS235" s="42"/>
      <c r="AT235" s="43"/>
      <c r="AU235" s="687">
        <f t="shared" si="26"/>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3"/>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27"/>
        <v>0</v>
      </c>
      <c r="DO235" s="683"/>
    </row>
    <row r="236" spans="1:119" ht="25.5" customHeight="1" thickTop="1" thickBot="1" x14ac:dyDescent="0.25">
      <c r="A236" s="676">
        <f t="shared" si="24"/>
        <v>221</v>
      </c>
      <c r="B236" s="1054"/>
      <c r="C236" s="1055"/>
      <c r="D236" s="83"/>
      <c r="E236" s="954"/>
      <c r="F236" s="52"/>
      <c r="G236" s="103"/>
      <c r="H236" s="1058"/>
      <c r="I236" s="684" t="str">
        <f t="shared" si="21"/>
        <v/>
      </c>
      <c r="J236" s="685">
        <f t="shared" si="22"/>
        <v>0</v>
      </c>
      <c r="K236" s="1260"/>
      <c r="L236" s="1253"/>
      <c r="M236" s="1259"/>
      <c r="N236" s="719"/>
      <c r="O236" s="720"/>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5"/>
        <v>0</v>
      </c>
      <c r="AQ236" s="42"/>
      <c r="AR236" s="42"/>
      <c r="AS236" s="42"/>
      <c r="AT236" s="43"/>
      <c r="AU236" s="687">
        <f t="shared" si="26"/>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3"/>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27"/>
        <v>0</v>
      </c>
      <c r="DO236" s="683"/>
    </row>
    <row r="237" spans="1:119" ht="25.5" customHeight="1" thickTop="1" thickBot="1" x14ac:dyDescent="0.25">
      <c r="A237" s="676">
        <f t="shared" si="24"/>
        <v>222</v>
      </c>
      <c r="B237" s="1054"/>
      <c r="C237" s="1055"/>
      <c r="D237" s="83"/>
      <c r="E237" s="954"/>
      <c r="F237" s="52"/>
      <c r="G237" s="103"/>
      <c r="H237" s="1058"/>
      <c r="I237" s="684" t="str">
        <f t="shared" si="21"/>
        <v/>
      </c>
      <c r="J237" s="685">
        <f t="shared" si="22"/>
        <v>0</v>
      </c>
      <c r="K237" s="1260"/>
      <c r="L237" s="1253"/>
      <c r="M237" s="1259"/>
      <c r="N237" s="719"/>
      <c r="O237" s="720"/>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5"/>
        <v>0</v>
      </c>
      <c r="AQ237" s="42"/>
      <c r="AR237" s="42"/>
      <c r="AS237" s="42"/>
      <c r="AT237" s="43"/>
      <c r="AU237" s="687">
        <f t="shared" si="26"/>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3"/>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27"/>
        <v>0</v>
      </c>
      <c r="DO237" s="683"/>
    </row>
    <row r="238" spans="1:119" ht="25.5" customHeight="1" thickTop="1" thickBot="1" x14ac:dyDescent="0.25">
      <c r="A238" s="676">
        <f t="shared" si="24"/>
        <v>223</v>
      </c>
      <c r="B238" s="1054"/>
      <c r="C238" s="1055"/>
      <c r="D238" s="83"/>
      <c r="E238" s="954"/>
      <c r="F238" s="52"/>
      <c r="G238" s="103"/>
      <c r="H238" s="1058"/>
      <c r="I238" s="684" t="str">
        <f t="shared" si="21"/>
        <v/>
      </c>
      <c r="J238" s="685">
        <f t="shared" si="22"/>
        <v>0</v>
      </c>
      <c r="K238" s="1260"/>
      <c r="L238" s="1253"/>
      <c r="M238" s="1259"/>
      <c r="N238" s="719"/>
      <c r="O238" s="720"/>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5"/>
        <v>0</v>
      </c>
      <c r="AQ238" s="42"/>
      <c r="AR238" s="42"/>
      <c r="AS238" s="42"/>
      <c r="AT238" s="43"/>
      <c r="AU238" s="687">
        <f t="shared" si="26"/>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3"/>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27"/>
        <v>0</v>
      </c>
      <c r="DO238" s="683"/>
    </row>
    <row r="239" spans="1:119" ht="25.5" customHeight="1" thickTop="1" thickBot="1" x14ac:dyDescent="0.25">
      <c r="A239" s="676">
        <f t="shared" si="24"/>
        <v>224</v>
      </c>
      <c r="B239" s="1054"/>
      <c r="C239" s="1055"/>
      <c r="D239" s="83"/>
      <c r="E239" s="954"/>
      <c r="F239" s="52"/>
      <c r="G239" s="103"/>
      <c r="H239" s="1058"/>
      <c r="I239" s="684" t="str">
        <f t="shared" si="21"/>
        <v/>
      </c>
      <c r="J239" s="685">
        <f t="shared" si="22"/>
        <v>0</v>
      </c>
      <c r="K239" s="1260"/>
      <c r="L239" s="1253"/>
      <c r="M239" s="1259"/>
      <c r="N239" s="719"/>
      <c r="O239" s="720"/>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5"/>
        <v>0</v>
      </c>
      <c r="AQ239" s="42"/>
      <c r="AR239" s="42"/>
      <c r="AS239" s="42"/>
      <c r="AT239" s="43"/>
      <c r="AU239" s="687">
        <f t="shared" si="26"/>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3"/>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27"/>
        <v>0</v>
      </c>
      <c r="DO239" s="683"/>
    </row>
    <row r="240" spans="1:119" ht="25.5" customHeight="1" thickTop="1" thickBot="1" x14ac:dyDescent="0.25">
      <c r="A240" s="676">
        <f t="shared" si="24"/>
        <v>225</v>
      </c>
      <c r="B240" s="1054"/>
      <c r="C240" s="1055"/>
      <c r="D240" s="83"/>
      <c r="E240" s="954"/>
      <c r="F240" s="52"/>
      <c r="G240" s="103"/>
      <c r="H240" s="1058"/>
      <c r="I240" s="684" t="str">
        <f t="shared" si="21"/>
        <v/>
      </c>
      <c r="J240" s="685">
        <f t="shared" si="22"/>
        <v>0</v>
      </c>
      <c r="K240" s="1260"/>
      <c r="L240" s="1253"/>
      <c r="M240" s="1259"/>
      <c r="N240" s="719"/>
      <c r="O240" s="720"/>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5"/>
        <v>0</v>
      </c>
      <c r="AQ240" s="42"/>
      <c r="AR240" s="42"/>
      <c r="AS240" s="42"/>
      <c r="AT240" s="43"/>
      <c r="AU240" s="687">
        <f t="shared" si="26"/>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3"/>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27"/>
        <v>0</v>
      </c>
      <c r="DO240" s="683"/>
    </row>
    <row r="241" spans="1:119" ht="25.5" customHeight="1" thickTop="1" thickBot="1" x14ac:dyDescent="0.25">
      <c r="A241" s="676">
        <f t="shared" si="24"/>
        <v>226</v>
      </c>
      <c r="B241" s="1054"/>
      <c r="C241" s="1055"/>
      <c r="D241" s="83"/>
      <c r="E241" s="954"/>
      <c r="F241" s="52"/>
      <c r="G241" s="103"/>
      <c r="H241" s="1058"/>
      <c r="I241" s="684" t="str">
        <f t="shared" si="21"/>
        <v/>
      </c>
      <c r="J241" s="685">
        <f t="shared" si="22"/>
        <v>0</v>
      </c>
      <c r="K241" s="1260"/>
      <c r="L241" s="1253"/>
      <c r="M241" s="1259"/>
      <c r="N241" s="719"/>
      <c r="O241" s="720"/>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5"/>
        <v>0</v>
      </c>
      <c r="AQ241" s="42"/>
      <c r="AR241" s="42"/>
      <c r="AS241" s="42"/>
      <c r="AT241" s="43"/>
      <c r="AU241" s="687">
        <f t="shared" si="26"/>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3"/>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27"/>
        <v>0</v>
      </c>
      <c r="DO241" s="683"/>
    </row>
    <row r="242" spans="1:119" ht="25.5" customHeight="1" thickTop="1" thickBot="1" x14ac:dyDescent="0.25">
      <c r="A242" s="676">
        <f t="shared" si="24"/>
        <v>227</v>
      </c>
      <c r="B242" s="1054"/>
      <c r="C242" s="1055"/>
      <c r="D242" s="83"/>
      <c r="E242" s="954"/>
      <c r="F242" s="52"/>
      <c r="G242" s="103"/>
      <c r="H242" s="1058"/>
      <c r="I242" s="684" t="str">
        <f t="shared" si="21"/>
        <v/>
      </c>
      <c r="J242" s="685">
        <f t="shared" si="22"/>
        <v>0</v>
      </c>
      <c r="K242" s="1260"/>
      <c r="L242" s="1253"/>
      <c r="M242" s="1259"/>
      <c r="N242" s="719"/>
      <c r="O242" s="720"/>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5"/>
        <v>0</v>
      </c>
      <c r="AQ242" s="42"/>
      <c r="AR242" s="42"/>
      <c r="AS242" s="42"/>
      <c r="AT242" s="43"/>
      <c r="AU242" s="687">
        <f t="shared" si="26"/>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3"/>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27"/>
        <v>0</v>
      </c>
      <c r="DO242" s="683"/>
    </row>
    <row r="243" spans="1:119" ht="25.5" customHeight="1" thickTop="1" thickBot="1" x14ac:dyDescent="0.25">
      <c r="A243" s="676">
        <f t="shared" si="24"/>
        <v>228</v>
      </c>
      <c r="B243" s="1054"/>
      <c r="C243" s="1055"/>
      <c r="D243" s="83"/>
      <c r="E243" s="954"/>
      <c r="F243" s="52"/>
      <c r="G243" s="103"/>
      <c r="H243" s="1058"/>
      <c r="I243" s="684" t="str">
        <f t="shared" si="21"/>
        <v/>
      </c>
      <c r="J243" s="685">
        <f t="shared" si="22"/>
        <v>0</v>
      </c>
      <c r="K243" s="1260"/>
      <c r="L243" s="1253"/>
      <c r="M243" s="1259"/>
      <c r="N243" s="719"/>
      <c r="O243" s="720"/>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5"/>
        <v>0</v>
      </c>
      <c r="AQ243" s="42"/>
      <c r="AR243" s="42"/>
      <c r="AS243" s="42"/>
      <c r="AT243" s="43"/>
      <c r="AU243" s="687">
        <f t="shared" si="26"/>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3"/>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27"/>
        <v>0</v>
      </c>
      <c r="DO243" s="683"/>
    </row>
    <row r="244" spans="1:119" ht="25.5" customHeight="1" thickTop="1" thickBot="1" x14ac:dyDescent="0.25">
      <c r="A244" s="676">
        <f t="shared" si="24"/>
        <v>229</v>
      </c>
      <c r="B244" s="1054"/>
      <c r="C244" s="1055"/>
      <c r="D244" s="83"/>
      <c r="E244" s="954"/>
      <c r="F244" s="52"/>
      <c r="G244" s="103"/>
      <c r="H244" s="1058"/>
      <c r="I244" s="684" t="str">
        <f t="shared" si="21"/>
        <v/>
      </c>
      <c r="J244" s="685">
        <f t="shared" si="22"/>
        <v>0</v>
      </c>
      <c r="K244" s="1260"/>
      <c r="L244" s="1253"/>
      <c r="M244" s="1259"/>
      <c r="N244" s="719"/>
      <c r="O244" s="720"/>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5"/>
        <v>0</v>
      </c>
      <c r="AQ244" s="42"/>
      <c r="AR244" s="42"/>
      <c r="AS244" s="42"/>
      <c r="AT244" s="43"/>
      <c r="AU244" s="687">
        <f t="shared" si="26"/>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3"/>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27"/>
        <v>0</v>
      </c>
      <c r="DO244" s="683"/>
    </row>
    <row r="245" spans="1:119" ht="25.5" customHeight="1" thickTop="1" thickBot="1" x14ac:dyDescent="0.25">
      <c r="A245" s="676">
        <f t="shared" si="24"/>
        <v>230</v>
      </c>
      <c r="B245" s="1054"/>
      <c r="C245" s="1055"/>
      <c r="D245" s="83"/>
      <c r="E245" s="954"/>
      <c r="F245" s="52"/>
      <c r="G245" s="103"/>
      <c r="H245" s="1058"/>
      <c r="I245" s="684" t="str">
        <f t="shared" si="21"/>
        <v/>
      </c>
      <c r="J245" s="685">
        <f t="shared" si="22"/>
        <v>0</v>
      </c>
      <c r="K245" s="1260"/>
      <c r="L245" s="1253"/>
      <c r="M245" s="1259"/>
      <c r="N245" s="719"/>
      <c r="O245" s="720"/>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5"/>
        <v>0</v>
      </c>
      <c r="AQ245" s="42"/>
      <c r="AR245" s="42"/>
      <c r="AS245" s="42"/>
      <c r="AT245" s="43"/>
      <c r="AU245" s="687">
        <f t="shared" si="26"/>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3"/>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27"/>
        <v>0</v>
      </c>
      <c r="DO245" s="683"/>
    </row>
    <row r="246" spans="1:119" ht="25.5" customHeight="1" thickTop="1" thickBot="1" x14ac:dyDescent="0.25">
      <c r="A246" s="676">
        <f t="shared" si="24"/>
        <v>231</v>
      </c>
      <c r="B246" s="1054"/>
      <c r="C246" s="1055"/>
      <c r="D246" s="83"/>
      <c r="E246" s="954"/>
      <c r="F246" s="52"/>
      <c r="G246" s="103"/>
      <c r="H246" s="1058"/>
      <c r="I246" s="684" t="str">
        <f t="shared" si="21"/>
        <v/>
      </c>
      <c r="J246" s="685">
        <f t="shared" si="22"/>
        <v>0</v>
      </c>
      <c r="K246" s="1260"/>
      <c r="L246" s="1253"/>
      <c r="M246" s="1259"/>
      <c r="N246" s="719"/>
      <c r="O246" s="720"/>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5"/>
        <v>0</v>
      </c>
      <c r="AQ246" s="42"/>
      <c r="AR246" s="42"/>
      <c r="AS246" s="42"/>
      <c r="AT246" s="43"/>
      <c r="AU246" s="687">
        <f t="shared" si="26"/>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3"/>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27"/>
        <v>0</v>
      </c>
      <c r="DO246" s="683"/>
    </row>
    <row r="247" spans="1:119" ht="25.5" customHeight="1" thickTop="1" thickBot="1" x14ac:dyDescent="0.25">
      <c r="A247" s="676">
        <f t="shared" si="24"/>
        <v>232</v>
      </c>
      <c r="B247" s="1054"/>
      <c r="C247" s="1055"/>
      <c r="D247" s="83"/>
      <c r="E247" s="954"/>
      <c r="F247" s="52"/>
      <c r="G247" s="103"/>
      <c r="H247" s="1058"/>
      <c r="I247" s="684" t="str">
        <f t="shared" si="21"/>
        <v/>
      </c>
      <c r="J247" s="685">
        <f t="shared" si="22"/>
        <v>0</v>
      </c>
      <c r="K247" s="1260"/>
      <c r="L247" s="1253"/>
      <c r="M247" s="1259"/>
      <c r="N247" s="719"/>
      <c r="O247" s="720"/>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5"/>
        <v>0</v>
      </c>
      <c r="AQ247" s="42"/>
      <c r="AR247" s="42"/>
      <c r="AS247" s="42"/>
      <c r="AT247" s="43"/>
      <c r="AU247" s="687">
        <f t="shared" si="26"/>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3"/>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27"/>
        <v>0</v>
      </c>
      <c r="DO247" s="683"/>
    </row>
    <row r="248" spans="1:119" ht="25.5" customHeight="1" thickTop="1" thickBot="1" x14ac:dyDescent="0.25">
      <c r="A248" s="676">
        <f t="shared" si="24"/>
        <v>233</v>
      </c>
      <c r="B248" s="1054"/>
      <c r="C248" s="1055"/>
      <c r="D248" s="83"/>
      <c r="E248" s="954"/>
      <c r="F248" s="52"/>
      <c r="G248" s="103"/>
      <c r="H248" s="1058"/>
      <c r="I248" s="684" t="str">
        <f t="shared" si="21"/>
        <v/>
      </c>
      <c r="J248" s="685">
        <f t="shared" si="22"/>
        <v>0</v>
      </c>
      <c r="K248" s="1260"/>
      <c r="L248" s="1253"/>
      <c r="M248" s="1259"/>
      <c r="N248" s="719"/>
      <c r="O248" s="720"/>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5"/>
        <v>0</v>
      </c>
      <c r="AQ248" s="42"/>
      <c r="AR248" s="42"/>
      <c r="AS248" s="42"/>
      <c r="AT248" s="43"/>
      <c r="AU248" s="687">
        <f t="shared" si="26"/>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3"/>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27"/>
        <v>0</v>
      </c>
      <c r="DO248" s="683"/>
    </row>
    <row r="249" spans="1:119" ht="25.5" customHeight="1" thickTop="1" thickBot="1" x14ac:dyDescent="0.25">
      <c r="A249" s="676">
        <f t="shared" si="24"/>
        <v>234</v>
      </c>
      <c r="B249" s="1054"/>
      <c r="C249" s="1055"/>
      <c r="D249" s="83"/>
      <c r="E249" s="954"/>
      <c r="F249" s="52"/>
      <c r="G249" s="103"/>
      <c r="H249" s="1058"/>
      <c r="I249" s="684" t="str">
        <f t="shared" si="21"/>
        <v/>
      </c>
      <c r="J249" s="685">
        <f t="shared" si="22"/>
        <v>0</v>
      </c>
      <c r="K249" s="1260"/>
      <c r="L249" s="1253"/>
      <c r="M249" s="1259"/>
      <c r="N249" s="719"/>
      <c r="O249" s="720"/>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5"/>
        <v>0</v>
      </c>
      <c r="AQ249" s="42"/>
      <c r="AR249" s="42"/>
      <c r="AS249" s="42"/>
      <c r="AT249" s="43"/>
      <c r="AU249" s="687">
        <f t="shared" si="26"/>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3"/>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27"/>
        <v>0</v>
      </c>
      <c r="DO249" s="683"/>
    </row>
    <row r="250" spans="1:119" ht="25.5" customHeight="1" thickTop="1" thickBot="1" x14ac:dyDescent="0.25">
      <c r="A250" s="676">
        <f t="shared" si="24"/>
        <v>235</v>
      </c>
      <c r="B250" s="1054"/>
      <c r="C250" s="1055"/>
      <c r="D250" s="83"/>
      <c r="E250" s="954"/>
      <c r="F250" s="52"/>
      <c r="G250" s="103"/>
      <c r="H250" s="1058"/>
      <c r="I250" s="684" t="str">
        <f t="shared" si="21"/>
        <v/>
      </c>
      <c r="J250" s="685">
        <f t="shared" si="22"/>
        <v>0</v>
      </c>
      <c r="K250" s="1260"/>
      <c r="L250" s="1253"/>
      <c r="M250" s="1259"/>
      <c r="N250" s="719"/>
      <c r="O250" s="720"/>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5"/>
        <v>0</v>
      </c>
      <c r="AQ250" s="42"/>
      <c r="AR250" s="42"/>
      <c r="AS250" s="42"/>
      <c r="AT250" s="43"/>
      <c r="AU250" s="687">
        <f t="shared" si="26"/>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3"/>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27"/>
        <v>0</v>
      </c>
      <c r="DO250" s="683"/>
    </row>
    <row r="251" spans="1:119" ht="25.5" customHeight="1" thickTop="1" thickBot="1" x14ac:dyDescent="0.25">
      <c r="A251" s="676">
        <f t="shared" si="24"/>
        <v>236</v>
      </c>
      <c r="B251" s="1054"/>
      <c r="C251" s="1055"/>
      <c r="D251" s="83"/>
      <c r="E251" s="954"/>
      <c r="F251" s="52"/>
      <c r="G251" s="103"/>
      <c r="H251" s="1058"/>
      <c r="I251" s="684" t="str">
        <f t="shared" si="21"/>
        <v/>
      </c>
      <c r="J251" s="685">
        <f t="shared" si="22"/>
        <v>0</v>
      </c>
      <c r="K251" s="1260"/>
      <c r="L251" s="1253"/>
      <c r="M251" s="1259"/>
      <c r="N251" s="719"/>
      <c r="O251" s="720"/>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5"/>
        <v>0</v>
      </c>
      <c r="AQ251" s="42"/>
      <c r="AR251" s="42"/>
      <c r="AS251" s="42"/>
      <c r="AT251" s="43"/>
      <c r="AU251" s="687">
        <f t="shared" si="26"/>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3"/>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27"/>
        <v>0</v>
      </c>
      <c r="DO251" s="683"/>
    </row>
    <row r="252" spans="1:119" ht="25.5" customHeight="1" thickTop="1" thickBot="1" x14ac:dyDescent="0.25">
      <c r="A252" s="676">
        <f t="shared" si="24"/>
        <v>237</v>
      </c>
      <c r="B252" s="1054"/>
      <c r="C252" s="1055"/>
      <c r="D252" s="83"/>
      <c r="E252" s="954"/>
      <c r="F252" s="52"/>
      <c r="G252" s="103"/>
      <c r="H252" s="1058"/>
      <c r="I252" s="684" t="str">
        <f t="shared" si="21"/>
        <v/>
      </c>
      <c r="J252" s="685">
        <f t="shared" si="22"/>
        <v>0</v>
      </c>
      <c r="K252" s="1260"/>
      <c r="L252" s="1253"/>
      <c r="M252" s="1259"/>
      <c r="N252" s="719"/>
      <c r="O252" s="720"/>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5"/>
        <v>0</v>
      </c>
      <c r="AQ252" s="42"/>
      <c r="AR252" s="42"/>
      <c r="AS252" s="42"/>
      <c r="AT252" s="43"/>
      <c r="AU252" s="687">
        <f t="shared" si="26"/>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3"/>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27"/>
        <v>0</v>
      </c>
      <c r="DO252" s="683"/>
    </row>
    <row r="253" spans="1:119" ht="25.5" customHeight="1" thickTop="1" thickBot="1" x14ac:dyDescent="0.25">
      <c r="A253" s="676">
        <f t="shared" si="24"/>
        <v>238</v>
      </c>
      <c r="B253" s="1054"/>
      <c r="C253" s="1055"/>
      <c r="D253" s="83"/>
      <c r="E253" s="954"/>
      <c r="F253" s="52"/>
      <c r="G253" s="103"/>
      <c r="H253" s="1058"/>
      <c r="I253" s="684" t="str">
        <f t="shared" si="21"/>
        <v/>
      </c>
      <c r="J253" s="685">
        <f t="shared" si="22"/>
        <v>0</v>
      </c>
      <c r="K253" s="1260"/>
      <c r="L253" s="1253"/>
      <c r="M253" s="1259"/>
      <c r="N253" s="719"/>
      <c r="O253" s="720"/>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5"/>
        <v>0</v>
      </c>
      <c r="AQ253" s="42"/>
      <c r="AR253" s="42"/>
      <c r="AS253" s="42"/>
      <c r="AT253" s="43"/>
      <c r="AU253" s="687">
        <f t="shared" si="26"/>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3"/>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27"/>
        <v>0</v>
      </c>
      <c r="DO253" s="683"/>
    </row>
    <row r="254" spans="1:119" ht="25.5" customHeight="1" thickTop="1" thickBot="1" x14ac:dyDescent="0.25">
      <c r="A254" s="676">
        <f t="shared" si="24"/>
        <v>239</v>
      </c>
      <c r="B254" s="1054"/>
      <c r="C254" s="1055"/>
      <c r="D254" s="83"/>
      <c r="E254" s="954"/>
      <c r="F254" s="52"/>
      <c r="G254" s="103"/>
      <c r="H254" s="1058"/>
      <c r="I254" s="684" t="str">
        <f t="shared" si="21"/>
        <v/>
      </c>
      <c r="J254" s="685">
        <f t="shared" si="22"/>
        <v>0</v>
      </c>
      <c r="K254" s="1260"/>
      <c r="L254" s="1253"/>
      <c r="M254" s="1259"/>
      <c r="N254" s="719"/>
      <c r="O254" s="720"/>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5"/>
        <v>0</v>
      </c>
      <c r="AQ254" s="42"/>
      <c r="AR254" s="42"/>
      <c r="AS254" s="42"/>
      <c r="AT254" s="43"/>
      <c r="AU254" s="687">
        <f t="shared" si="26"/>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3"/>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27"/>
        <v>0</v>
      </c>
      <c r="DO254" s="683"/>
    </row>
    <row r="255" spans="1:119" ht="25.5" customHeight="1" thickTop="1" thickBot="1" x14ac:dyDescent="0.25">
      <c r="A255" s="676">
        <f t="shared" si="24"/>
        <v>240</v>
      </c>
      <c r="B255" s="1054"/>
      <c r="C255" s="1055"/>
      <c r="D255" s="83"/>
      <c r="E255" s="954"/>
      <c r="F255" s="52"/>
      <c r="G255" s="103"/>
      <c r="H255" s="1058"/>
      <c r="I255" s="684" t="str">
        <f t="shared" si="21"/>
        <v/>
      </c>
      <c r="J255" s="685">
        <f t="shared" si="22"/>
        <v>0</v>
      </c>
      <c r="K255" s="1260"/>
      <c r="L255" s="1253"/>
      <c r="M255" s="1259"/>
      <c r="N255" s="719"/>
      <c r="O255" s="720"/>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5"/>
        <v>0</v>
      </c>
      <c r="AQ255" s="42"/>
      <c r="AR255" s="42"/>
      <c r="AS255" s="42"/>
      <c r="AT255" s="43"/>
      <c r="AU255" s="687">
        <f t="shared" si="26"/>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3"/>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27"/>
        <v>0</v>
      </c>
      <c r="DO255" s="683"/>
    </row>
    <row r="256" spans="1:119" ht="25.5" customHeight="1" thickTop="1" thickBot="1" x14ac:dyDescent="0.25">
      <c r="A256" s="676">
        <f t="shared" si="24"/>
        <v>241</v>
      </c>
      <c r="B256" s="1054"/>
      <c r="C256" s="1055"/>
      <c r="D256" s="83"/>
      <c r="E256" s="954"/>
      <c r="F256" s="52"/>
      <c r="G256" s="103"/>
      <c r="H256" s="1058"/>
      <c r="I256" s="684" t="str">
        <f t="shared" si="21"/>
        <v/>
      </c>
      <c r="J256" s="685">
        <f t="shared" si="22"/>
        <v>0</v>
      </c>
      <c r="K256" s="1260"/>
      <c r="L256" s="1253"/>
      <c r="M256" s="1259"/>
      <c r="N256" s="719"/>
      <c r="O256" s="720"/>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5"/>
        <v>0</v>
      </c>
      <c r="AQ256" s="42"/>
      <c r="AR256" s="42"/>
      <c r="AS256" s="42"/>
      <c r="AT256" s="43"/>
      <c r="AU256" s="687">
        <f t="shared" si="26"/>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3"/>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27"/>
        <v>0</v>
      </c>
      <c r="DO256" s="683"/>
    </row>
    <row r="257" spans="1:119" ht="25.5" customHeight="1" thickTop="1" thickBot="1" x14ac:dyDescent="0.25">
      <c r="A257" s="676">
        <f t="shared" si="24"/>
        <v>242</v>
      </c>
      <c r="B257" s="1054"/>
      <c r="C257" s="1055"/>
      <c r="D257" s="83"/>
      <c r="E257" s="954"/>
      <c r="F257" s="52"/>
      <c r="G257" s="103"/>
      <c r="H257" s="1058"/>
      <c r="I257" s="684" t="str">
        <f t="shared" si="21"/>
        <v/>
      </c>
      <c r="J257" s="685">
        <f t="shared" si="22"/>
        <v>0</v>
      </c>
      <c r="K257" s="1260"/>
      <c r="L257" s="1253"/>
      <c r="M257" s="1259"/>
      <c r="N257" s="719"/>
      <c r="O257" s="720"/>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5"/>
        <v>0</v>
      </c>
      <c r="AQ257" s="42"/>
      <c r="AR257" s="42"/>
      <c r="AS257" s="42"/>
      <c r="AT257" s="43"/>
      <c r="AU257" s="687">
        <f t="shared" si="26"/>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3"/>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27"/>
        <v>0</v>
      </c>
      <c r="DO257" s="683"/>
    </row>
    <row r="258" spans="1:119" ht="25.5" customHeight="1" thickTop="1" thickBot="1" x14ac:dyDescent="0.25">
      <c r="A258" s="676">
        <f t="shared" si="24"/>
        <v>243</v>
      </c>
      <c r="B258" s="1054"/>
      <c r="C258" s="1055"/>
      <c r="D258" s="83"/>
      <c r="E258" s="954"/>
      <c r="F258" s="52"/>
      <c r="G258" s="103"/>
      <c r="H258" s="1058"/>
      <c r="I258" s="684" t="str">
        <f t="shared" si="21"/>
        <v/>
      </c>
      <c r="J258" s="685">
        <f t="shared" si="22"/>
        <v>0</v>
      </c>
      <c r="K258" s="1260"/>
      <c r="L258" s="1253"/>
      <c r="M258" s="1259"/>
      <c r="N258" s="719"/>
      <c r="O258" s="720"/>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5"/>
        <v>0</v>
      </c>
      <c r="AQ258" s="42"/>
      <c r="AR258" s="42"/>
      <c r="AS258" s="42"/>
      <c r="AT258" s="43"/>
      <c r="AU258" s="687">
        <f t="shared" si="26"/>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3"/>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27"/>
        <v>0</v>
      </c>
      <c r="DO258" s="683"/>
    </row>
    <row r="259" spans="1:119" ht="25.5" customHeight="1" thickTop="1" thickBot="1" x14ac:dyDescent="0.25">
      <c r="A259" s="676">
        <f t="shared" si="24"/>
        <v>244</v>
      </c>
      <c r="B259" s="1054"/>
      <c r="C259" s="1055"/>
      <c r="D259" s="83"/>
      <c r="E259" s="954"/>
      <c r="F259" s="52"/>
      <c r="G259" s="103"/>
      <c r="H259" s="1058"/>
      <c r="I259" s="684" t="str">
        <f t="shared" si="21"/>
        <v/>
      </c>
      <c r="J259" s="685">
        <f t="shared" si="22"/>
        <v>0</v>
      </c>
      <c r="K259" s="1260"/>
      <c r="L259" s="1253"/>
      <c r="M259" s="1259"/>
      <c r="N259" s="719"/>
      <c r="O259" s="720"/>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5"/>
        <v>0</v>
      </c>
      <c r="AQ259" s="42"/>
      <c r="AR259" s="42"/>
      <c r="AS259" s="42"/>
      <c r="AT259" s="43"/>
      <c r="AU259" s="687">
        <f t="shared" si="26"/>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3"/>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27"/>
        <v>0</v>
      </c>
      <c r="DO259" s="683"/>
    </row>
    <row r="260" spans="1:119" ht="25.5" customHeight="1" thickTop="1" thickBot="1" x14ac:dyDescent="0.25">
      <c r="A260" s="676">
        <f t="shared" si="24"/>
        <v>245</v>
      </c>
      <c r="B260" s="1054"/>
      <c r="C260" s="1055"/>
      <c r="D260" s="83"/>
      <c r="E260" s="954"/>
      <c r="F260" s="52"/>
      <c r="G260" s="103"/>
      <c r="H260" s="1058"/>
      <c r="I260" s="684" t="str">
        <f t="shared" si="21"/>
        <v/>
      </c>
      <c r="J260" s="685">
        <f t="shared" si="22"/>
        <v>0</v>
      </c>
      <c r="K260" s="1260"/>
      <c r="L260" s="1253"/>
      <c r="M260" s="1259"/>
      <c r="N260" s="719"/>
      <c r="O260" s="720"/>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5"/>
        <v>0</v>
      </c>
      <c r="AQ260" s="42"/>
      <c r="AR260" s="42"/>
      <c r="AS260" s="42"/>
      <c r="AT260" s="43"/>
      <c r="AU260" s="687">
        <f t="shared" si="26"/>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3"/>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27"/>
        <v>0</v>
      </c>
      <c r="DO260" s="683"/>
    </row>
    <row r="261" spans="1:119" ht="25.5" customHeight="1" thickTop="1" thickBot="1" x14ac:dyDescent="0.25">
      <c r="A261" s="676">
        <f t="shared" si="24"/>
        <v>246</v>
      </c>
      <c r="B261" s="1054"/>
      <c r="C261" s="1055"/>
      <c r="D261" s="83"/>
      <c r="E261" s="954"/>
      <c r="F261" s="52"/>
      <c r="G261" s="103"/>
      <c r="H261" s="1058"/>
      <c r="I261" s="684" t="str">
        <f t="shared" si="21"/>
        <v/>
      </c>
      <c r="J261" s="685">
        <f t="shared" si="22"/>
        <v>0</v>
      </c>
      <c r="K261" s="1260"/>
      <c r="L261" s="1253"/>
      <c r="M261" s="1259"/>
      <c r="N261" s="719"/>
      <c r="O261" s="720"/>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5"/>
        <v>0</v>
      </c>
      <c r="AQ261" s="42"/>
      <c r="AR261" s="42"/>
      <c r="AS261" s="42"/>
      <c r="AT261" s="43"/>
      <c r="AU261" s="687">
        <f t="shared" si="26"/>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3"/>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27"/>
        <v>0</v>
      </c>
      <c r="DO261" s="683"/>
    </row>
    <row r="262" spans="1:119" ht="25.5" customHeight="1" thickTop="1" thickBot="1" x14ac:dyDescent="0.25">
      <c r="A262" s="676">
        <f t="shared" si="24"/>
        <v>247</v>
      </c>
      <c r="B262" s="1054"/>
      <c r="C262" s="1055"/>
      <c r="D262" s="83"/>
      <c r="E262" s="954"/>
      <c r="F262" s="52"/>
      <c r="G262" s="103"/>
      <c r="H262" s="1058"/>
      <c r="I262" s="684" t="str">
        <f t="shared" si="21"/>
        <v/>
      </c>
      <c r="J262" s="685">
        <f t="shared" si="22"/>
        <v>0</v>
      </c>
      <c r="K262" s="1260"/>
      <c r="L262" s="1253"/>
      <c r="M262" s="1259"/>
      <c r="N262" s="719"/>
      <c r="O262" s="720"/>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5"/>
        <v>0</v>
      </c>
      <c r="AQ262" s="42"/>
      <c r="AR262" s="42"/>
      <c r="AS262" s="42"/>
      <c r="AT262" s="43"/>
      <c r="AU262" s="687">
        <f t="shared" si="26"/>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3"/>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27"/>
        <v>0</v>
      </c>
      <c r="DO262" s="683"/>
    </row>
    <row r="263" spans="1:119" ht="25.5" customHeight="1" thickTop="1" thickBot="1" x14ac:dyDescent="0.25">
      <c r="A263" s="676">
        <f t="shared" si="24"/>
        <v>248</v>
      </c>
      <c r="B263" s="1054"/>
      <c r="C263" s="1055"/>
      <c r="D263" s="83"/>
      <c r="E263" s="954"/>
      <c r="F263" s="52"/>
      <c r="G263" s="103"/>
      <c r="H263" s="1058"/>
      <c r="I263" s="684" t="str">
        <f t="shared" si="21"/>
        <v/>
      </c>
      <c r="J263" s="685">
        <f t="shared" si="22"/>
        <v>0</v>
      </c>
      <c r="K263" s="1260"/>
      <c r="L263" s="1253"/>
      <c r="M263" s="1259"/>
      <c r="N263" s="719"/>
      <c r="O263" s="720"/>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5"/>
        <v>0</v>
      </c>
      <c r="AQ263" s="42"/>
      <c r="AR263" s="42"/>
      <c r="AS263" s="42"/>
      <c r="AT263" s="43"/>
      <c r="AU263" s="687">
        <f t="shared" si="26"/>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3"/>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27"/>
        <v>0</v>
      </c>
      <c r="DO263" s="683"/>
    </row>
    <row r="264" spans="1:119" ht="25.5" customHeight="1" thickTop="1" thickBot="1" x14ac:dyDescent="0.25">
      <c r="A264" s="676">
        <f t="shared" si="24"/>
        <v>249</v>
      </c>
      <c r="B264" s="1054"/>
      <c r="C264" s="1055"/>
      <c r="D264" s="83"/>
      <c r="E264" s="954"/>
      <c r="F264" s="52"/>
      <c r="G264" s="103"/>
      <c r="H264" s="1058"/>
      <c r="I264" s="684" t="str">
        <f t="shared" si="21"/>
        <v/>
      </c>
      <c r="J264" s="685">
        <f t="shared" si="22"/>
        <v>0</v>
      </c>
      <c r="K264" s="1260"/>
      <c r="L264" s="1253"/>
      <c r="M264" s="1259"/>
      <c r="N264" s="719"/>
      <c r="O264" s="720"/>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5"/>
        <v>0</v>
      </c>
      <c r="AQ264" s="42"/>
      <c r="AR264" s="42"/>
      <c r="AS264" s="42"/>
      <c r="AT264" s="43"/>
      <c r="AU264" s="687">
        <f t="shared" si="26"/>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3"/>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27"/>
        <v>0</v>
      </c>
      <c r="DO264" s="683"/>
    </row>
    <row r="265" spans="1:119" ht="25.5" customHeight="1" thickTop="1" thickBot="1" x14ac:dyDescent="0.25">
      <c r="A265" s="676">
        <f t="shared" si="24"/>
        <v>250</v>
      </c>
      <c r="B265" s="1054"/>
      <c r="C265" s="1055"/>
      <c r="D265" s="83"/>
      <c r="E265" s="954"/>
      <c r="F265" s="52"/>
      <c r="G265" s="103"/>
      <c r="H265" s="1058"/>
      <c r="I265" s="684" t="str">
        <f t="shared" si="21"/>
        <v/>
      </c>
      <c r="J265" s="685">
        <f t="shared" si="22"/>
        <v>0</v>
      </c>
      <c r="K265" s="1260"/>
      <c r="L265" s="1253"/>
      <c r="M265" s="1259"/>
      <c r="N265" s="719"/>
      <c r="O265" s="720"/>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5"/>
        <v>0</v>
      </c>
      <c r="AQ265" s="42"/>
      <c r="AR265" s="42"/>
      <c r="AS265" s="42"/>
      <c r="AT265" s="43"/>
      <c r="AU265" s="687">
        <f t="shared" si="26"/>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3"/>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27"/>
        <v>0</v>
      </c>
      <c r="DO265" s="683"/>
    </row>
    <row r="266" spans="1:119" ht="25.5" customHeight="1" thickTop="1" thickBot="1" x14ac:dyDescent="0.25">
      <c r="A266" s="676">
        <f t="shared" si="24"/>
        <v>251</v>
      </c>
      <c r="B266" s="1054"/>
      <c r="C266" s="1055"/>
      <c r="D266" s="83"/>
      <c r="E266" s="954"/>
      <c r="F266" s="52"/>
      <c r="G266" s="103"/>
      <c r="H266" s="1058"/>
      <c r="I266" s="684" t="str">
        <f t="shared" si="21"/>
        <v/>
      </c>
      <c r="J266" s="685">
        <f t="shared" si="22"/>
        <v>0</v>
      </c>
      <c r="K266" s="1260"/>
      <c r="L266" s="1253"/>
      <c r="M266" s="1259"/>
      <c r="N266" s="719"/>
      <c r="O266" s="720"/>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5"/>
        <v>0</v>
      </c>
      <c r="AQ266" s="42"/>
      <c r="AR266" s="42"/>
      <c r="AS266" s="42"/>
      <c r="AT266" s="43"/>
      <c r="AU266" s="687">
        <f t="shared" si="26"/>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3"/>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27"/>
        <v>0</v>
      </c>
      <c r="DO266" s="683"/>
    </row>
    <row r="267" spans="1:119" ht="25.5" customHeight="1" thickTop="1" thickBot="1" x14ac:dyDescent="0.25">
      <c r="A267" s="676">
        <f t="shared" si="24"/>
        <v>252</v>
      </c>
      <c r="B267" s="1054"/>
      <c r="C267" s="1055"/>
      <c r="D267" s="83"/>
      <c r="E267" s="954"/>
      <c r="F267" s="52"/>
      <c r="G267" s="103"/>
      <c r="H267" s="1058"/>
      <c r="I267" s="684" t="str">
        <f t="shared" si="21"/>
        <v/>
      </c>
      <c r="J267" s="685">
        <f t="shared" si="22"/>
        <v>0</v>
      </c>
      <c r="K267" s="1260"/>
      <c r="L267" s="1253"/>
      <c r="M267" s="1259"/>
      <c r="N267" s="719"/>
      <c r="O267" s="720"/>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5"/>
        <v>0</v>
      </c>
      <c r="AQ267" s="42"/>
      <c r="AR267" s="42"/>
      <c r="AS267" s="42"/>
      <c r="AT267" s="43"/>
      <c r="AU267" s="687">
        <f t="shared" si="26"/>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3"/>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27"/>
        <v>0</v>
      </c>
      <c r="DO267" s="683"/>
    </row>
    <row r="268" spans="1:119" ht="25.5" customHeight="1" thickTop="1" thickBot="1" x14ac:dyDescent="0.25">
      <c r="A268" s="676">
        <f t="shared" si="24"/>
        <v>253</v>
      </c>
      <c r="B268" s="1054"/>
      <c r="C268" s="1055"/>
      <c r="D268" s="83"/>
      <c r="E268" s="954"/>
      <c r="F268" s="52"/>
      <c r="G268" s="103"/>
      <c r="H268" s="1058"/>
      <c r="I268" s="684" t="str">
        <f t="shared" si="21"/>
        <v/>
      </c>
      <c r="J268" s="685">
        <f t="shared" si="22"/>
        <v>0</v>
      </c>
      <c r="K268" s="1260"/>
      <c r="L268" s="1253"/>
      <c r="M268" s="1259"/>
      <c r="N268" s="719"/>
      <c r="O268" s="720"/>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5"/>
        <v>0</v>
      </c>
      <c r="AQ268" s="42"/>
      <c r="AR268" s="42"/>
      <c r="AS268" s="42"/>
      <c r="AT268" s="43"/>
      <c r="AU268" s="687">
        <f t="shared" si="26"/>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3"/>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27"/>
        <v>0</v>
      </c>
      <c r="DO268" s="683"/>
    </row>
    <row r="269" spans="1:119" ht="25.5" customHeight="1" thickTop="1" thickBot="1" x14ac:dyDescent="0.25">
      <c r="A269" s="676">
        <f t="shared" si="24"/>
        <v>254</v>
      </c>
      <c r="B269" s="1054"/>
      <c r="C269" s="1055"/>
      <c r="D269" s="83"/>
      <c r="E269" s="954"/>
      <c r="F269" s="52"/>
      <c r="G269" s="103"/>
      <c r="H269" s="1058"/>
      <c r="I269" s="684" t="str">
        <f t="shared" si="21"/>
        <v/>
      </c>
      <c r="J269" s="685">
        <f t="shared" si="22"/>
        <v>0</v>
      </c>
      <c r="K269" s="1260"/>
      <c r="L269" s="1253"/>
      <c r="M269" s="1259"/>
      <c r="N269" s="719"/>
      <c r="O269" s="720"/>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5"/>
        <v>0</v>
      </c>
      <c r="AQ269" s="42"/>
      <c r="AR269" s="42"/>
      <c r="AS269" s="42"/>
      <c r="AT269" s="43"/>
      <c r="AU269" s="687">
        <f t="shared" si="26"/>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3"/>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27"/>
        <v>0</v>
      </c>
      <c r="DO269" s="683"/>
    </row>
    <row r="270" spans="1:119" ht="25.5" customHeight="1" thickTop="1" thickBot="1" x14ac:dyDescent="0.25">
      <c r="A270" s="676">
        <f t="shared" si="24"/>
        <v>255</v>
      </c>
      <c r="B270" s="1054"/>
      <c r="C270" s="1055"/>
      <c r="D270" s="83"/>
      <c r="E270" s="954"/>
      <c r="F270" s="52"/>
      <c r="G270" s="103"/>
      <c r="H270" s="1058"/>
      <c r="I270" s="684" t="str">
        <f t="shared" si="21"/>
        <v/>
      </c>
      <c r="J270" s="685">
        <f t="shared" si="22"/>
        <v>0</v>
      </c>
      <c r="K270" s="1260"/>
      <c r="L270" s="1253"/>
      <c r="M270" s="1259"/>
      <c r="N270" s="719"/>
      <c r="O270" s="720"/>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5"/>
        <v>0</v>
      </c>
      <c r="AQ270" s="42"/>
      <c r="AR270" s="42"/>
      <c r="AS270" s="42"/>
      <c r="AT270" s="43"/>
      <c r="AU270" s="687">
        <f t="shared" si="26"/>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3"/>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27"/>
        <v>0</v>
      </c>
      <c r="DO270" s="683"/>
    </row>
    <row r="271" spans="1:119" ht="25.5" customHeight="1" thickTop="1" thickBot="1" x14ac:dyDescent="0.25">
      <c r="A271" s="676">
        <f t="shared" si="24"/>
        <v>256</v>
      </c>
      <c r="B271" s="1054"/>
      <c r="C271" s="1055"/>
      <c r="D271" s="83"/>
      <c r="E271" s="954"/>
      <c r="F271" s="52"/>
      <c r="G271" s="103"/>
      <c r="H271" s="1058"/>
      <c r="I271" s="684" t="str">
        <f t="shared" si="21"/>
        <v/>
      </c>
      <c r="J271" s="685">
        <f t="shared" si="22"/>
        <v>0</v>
      </c>
      <c r="K271" s="1260"/>
      <c r="L271" s="1253"/>
      <c r="M271" s="1259"/>
      <c r="N271" s="719"/>
      <c r="O271" s="720"/>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5"/>
        <v>0</v>
      </c>
      <c r="AQ271" s="42"/>
      <c r="AR271" s="42"/>
      <c r="AS271" s="42"/>
      <c r="AT271" s="43"/>
      <c r="AU271" s="687">
        <f t="shared" si="26"/>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3"/>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27"/>
        <v>0</v>
      </c>
      <c r="DO271" s="683"/>
    </row>
    <row r="272" spans="1:119" ht="25.5" customHeight="1" thickTop="1" thickBot="1" x14ac:dyDescent="0.25">
      <c r="A272" s="676">
        <f t="shared" si="24"/>
        <v>257</v>
      </c>
      <c r="B272" s="1054"/>
      <c r="C272" s="1055"/>
      <c r="D272" s="83"/>
      <c r="E272" s="954"/>
      <c r="F272" s="52"/>
      <c r="G272" s="103"/>
      <c r="H272" s="1058"/>
      <c r="I272" s="684" t="str">
        <f t="shared" ref="I272:I335" si="28">LEFT(H272,4)</f>
        <v/>
      </c>
      <c r="J272" s="685">
        <f t="shared" ref="J272:J335" si="29">G272-DN272</f>
        <v>0</v>
      </c>
      <c r="K272" s="1260"/>
      <c r="L272" s="1253"/>
      <c r="M272" s="1259"/>
      <c r="N272" s="719"/>
      <c r="O272" s="720"/>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5"/>
        <v>0</v>
      </c>
      <c r="AQ272" s="42"/>
      <c r="AR272" s="42"/>
      <c r="AS272" s="42"/>
      <c r="AT272" s="43"/>
      <c r="AU272" s="687">
        <f t="shared" si="26"/>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0">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27"/>
        <v>0</v>
      </c>
      <c r="DO272" s="683"/>
    </row>
    <row r="273" spans="1:119" ht="25.5" customHeight="1" thickTop="1" thickBot="1" x14ac:dyDescent="0.25">
      <c r="A273" s="676">
        <f t="shared" ref="A273:A336" si="31">$A272+1</f>
        <v>258</v>
      </c>
      <c r="B273" s="1054"/>
      <c r="C273" s="1055"/>
      <c r="D273" s="83"/>
      <c r="E273" s="954"/>
      <c r="F273" s="52"/>
      <c r="G273" s="103"/>
      <c r="H273" s="1058"/>
      <c r="I273" s="684" t="str">
        <f t="shared" si="28"/>
        <v/>
      </c>
      <c r="J273" s="685">
        <f t="shared" si="29"/>
        <v>0</v>
      </c>
      <c r="K273" s="1260"/>
      <c r="L273" s="1253"/>
      <c r="M273" s="1259"/>
      <c r="N273" s="719"/>
      <c r="O273" s="720"/>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2">SUM(AQ273:AT273)</f>
        <v>0</v>
      </c>
      <c r="AQ273" s="42"/>
      <c r="AR273" s="42"/>
      <c r="AS273" s="42"/>
      <c r="AT273" s="43"/>
      <c r="AU273" s="687">
        <f t="shared" ref="AU273:AU336" si="33">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0"/>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4">SUM(P273:AP273,AU273,AZ273:BW273,CE273:DM273)</f>
        <v>0</v>
      </c>
      <c r="DO273" s="683"/>
    </row>
    <row r="274" spans="1:119" ht="25.5" customHeight="1" thickTop="1" thickBot="1" x14ac:dyDescent="0.25">
      <c r="A274" s="676">
        <f t="shared" si="31"/>
        <v>259</v>
      </c>
      <c r="B274" s="1054"/>
      <c r="C274" s="1055"/>
      <c r="D274" s="83"/>
      <c r="E274" s="954"/>
      <c r="F274" s="52"/>
      <c r="G274" s="103"/>
      <c r="H274" s="1058"/>
      <c r="I274" s="684" t="str">
        <f t="shared" si="28"/>
        <v/>
      </c>
      <c r="J274" s="685">
        <f t="shared" si="29"/>
        <v>0</v>
      </c>
      <c r="K274" s="1260"/>
      <c r="L274" s="1253"/>
      <c r="M274" s="1259"/>
      <c r="N274" s="719"/>
      <c r="O274" s="720"/>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2"/>
        <v>0</v>
      </c>
      <c r="AQ274" s="42"/>
      <c r="AR274" s="42"/>
      <c r="AS274" s="42"/>
      <c r="AT274" s="43"/>
      <c r="AU274" s="687">
        <f t="shared" si="33"/>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0"/>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4"/>
        <v>0</v>
      </c>
      <c r="DO274" s="683"/>
    </row>
    <row r="275" spans="1:119" ht="25.5" customHeight="1" thickTop="1" thickBot="1" x14ac:dyDescent="0.25">
      <c r="A275" s="676">
        <f t="shared" si="31"/>
        <v>260</v>
      </c>
      <c r="B275" s="1054"/>
      <c r="C275" s="1055"/>
      <c r="D275" s="83"/>
      <c r="E275" s="954"/>
      <c r="F275" s="52"/>
      <c r="G275" s="103"/>
      <c r="H275" s="1058"/>
      <c r="I275" s="684" t="str">
        <f t="shared" si="28"/>
        <v/>
      </c>
      <c r="J275" s="685">
        <f t="shared" si="29"/>
        <v>0</v>
      </c>
      <c r="K275" s="1260"/>
      <c r="L275" s="1253"/>
      <c r="M275" s="1259"/>
      <c r="N275" s="719"/>
      <c r="O275" s="720"/>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2"/>
        <v>0</v>
      </c>
      <c r="AQ275" s="42"/>
      <c r="AR275" s="42"/>
      <c r="AS275" s="42"/>
      <c r="AT275" s="43"/>
      <c r="AU275" s="687">
        <f t="shared" si="33"/>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0"/>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4"/>
        <v>0</v>
      </c>
      <c r="DO275" s="683"/>
    </row>
    <row r="276" spans="1:119" ht="25.5" customHeight="1" thickTop="1" thickBot="1" x14ac:dyDescent="0.25">
      <c r="A276" s="676">
        <f t="shared" si="31"/>
        <v>261</v>
      </c>
      <c r="B276" s="1054"/>
      <c r="C276" s="1055"/>
      <c r="D276" s="83"/>
      <c r="E276" s="954"/>
      <c r="F276" s="52"/>
      <c r="G276" s="103"/>
      <c r="H276" s="1058"/>
      <c r="I276" s="684" t="str">
        <f t="shared" si="28"/>
        <v/>
      </c>
      <c r="J276" s="685">
        <f t="shared" si="29"/>
        <v>0</v>
      </c>
      <c r="K276" s="1260"/>
      <c r="L276" s="1253"/>
      <c r="M276" s="1259"/>
      <c r="N276" s="719"/>
      <c r="O276" s="720"/>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2"/>
        <v>0</v>
      </c>
      <c r="AQ276" s="42"/>
      <c r="AR276" s="42"/>
      <c r="AS276" s="42"/>
      <c r="AT276" s="43"/>
      <c r="AU276" s="687">
        <f t="shared" si="33"/>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0"/>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4"/>
        <v>0</v>
      </c>
      <c r="DO276" s="683"/>
    </row>
    <row r="277" spans="1:119" ht="25.5" customHeight="1" thickTop="1" thickBot="1" x14ac:dyDescent="0.25">
      <c r="A277" s="676">
        <f t="shared" si="31"/>
        <v>262</v>
      </c>
      <c r="B277" s="1054"/>
      <c r="C277" s="1055"/>
      <c r="D277" s="83"/>
      <c r="E277" s="954"/>
      <c r="F277" s="52"/>
      <c r="G277" s="103"/>
      <c r="H277" s="1058"/>
      <c r="I277" s="684" t="str">
        <f t="shared" si="28"/>
        <v/>
      </c>
      <c r="J277" s="685">
        <f t="shared" si="29"/>
        <v>0</v>
      </c>
      <c r="K277" s="1260"/>
      <c r="L277" s="1253"/>
      <c r="M277" s="1259"/>
      <c r="N277" s="719"/>
      <c r="O277" s="720"/>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2"/>
        <v>0</v>
      </c>
      <c r="AQ277" s="42"/>
      <c r="AR277" s="42"/>
      <c r="AS277" s="42"/>
      <c r="AT277" s="43"/>
      <c r="AU277" s="687">
        <f t="shared" si="33"/>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0"/>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4"/>
        <v>0</v>
      </c>
      <c r="DO277" s="683"/>
    </row>
    <row r="278" spans="1:119" ht="25.5" customHeight="1" thickTop="1" thickBot="1" x14ac:dyDescent="0.25">
      <c r="A278" s="676">
        <f t="shared" si="31"/>
        <v>263</v>
      </c>
      <c r="B278" s="1054"/>
      <c r="C278" s="1055"/>
      <c r="D278" s="83"/>
      <c r="E278" s="954"/>
      <c r="F278" s="52"/>
      <c r="G278" s="103"/>
      <c r="H278" s="1058"/>
      <c r="I278" s="684" t="str">
        <f t="shared" si="28"/>
        <v/>
      </c>
      <c r="J278" s="685">
        <f t="shared" si="29"/>
        <v>0</v>
      </c>
      <c r="K278" s="1260"/>
      <c r="L278" s="1253"/>
      <c r="M278" s="1259"/>
      <c r="N278" s="719"/>
      <c r="O278" s="720"/>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2"/>
        <v>0</v>
      </c>
      <c r="AQ278" s="42"/>
      <c r="AR278" s="42"/>
      <c r="AS278" s="42"/>
      <c r="AT278" s="43"/>
      <c r="AU278" s="687">
        <f t="shared" si="33"/>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0"/>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4"/>
        <v>0</v>
      </c>
      <c r="DO278" s="683"/>
    </row>
    <row r="279" spans="1:119" ht="25.5" customHeight="1" thickTop="1" thickBot="1" x14ac:dyDescent="0.25">
      <c r="A279" s="676">
        <f t="shared" si="31"/>
        <v>264</v>
      </c>
      <c r="B279" s="1054"/>
      <c r="C279" s="1055"/>
      <c r="D279" s="83"/>
      <c r="E279" s="954"/>
      <c r="F279" s="52"/>
      <c r="G279" s="103"/>
      <c r="H279" s="1058"/>
      <c r="I279" s="684" t="str">
        <f t="shared" si="28"/>
        <v/>
      </c>
      <c r="J279" s="685">
        <f t="shared" si="29"/>
        <v>0</v>
      </c>
      <c r="K279" s="1260"/>
      <c r="L279" s="1253"/>
      <c r="M279" s="1259"/>
      <c r="N279" s="719"/>
      <c r="O279" s="720"/>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2"/>
        <v>0</v>
      </c>
      <c r="AQ279" s="42"/>
      <c r="AR279" s="42"/>
      <c r="AS279" s="42"/>
      <c r="AT279" s="43"/>
      <c r="AU279" s="687">
        <f t="shared" si="33"/>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0"/>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4"/>
        <v>0</v>
      </c>
      <c r="DO279" s="683"/>
    </row>
    <row r="280" spans="1:119" ht="25.5" customHeight="1" thickTop="1" thickBot="1" x14ac:dyDescent="0.25">
      <c r="A280" s="676">
        <f t="shared" si="31"/>
        <v>265</v>
      </c>
      <c r="B280" s="1054"/>
      <c r="C280" s="1055"/>
      <c r="D280" s="83"/>
      <c r="E280" s="954"/>
      <c r="F280" s="52"/>
      <c r="G280" s="103"/>
      <c r="H280" s="1058"/>
      <c r="I280" s="684" t="str">
        <f t="shared" si="28"/>
        <v/>
      </c>
      <c r="J280" s="685">
        <f t="shared" si="29"/>
        <v>0</v>
      </c>
      <c r="K280" s="1260"/>
      <c r="L280" s="1253"/>
      <c r="M280" s="1259"/>
      <c r="N280" s="719"/>
      <c r="O280" s="720"/>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2"/>
        <v>0</v>
      </c>
      <c r="AQ280" s="42"/>
      <c r="AR280" s="42"/>
      <c r="AS280" s="42"/>
      <c r="AT280" s="43"/>
      <c r="AU280" s="687">
        <f t="shared" si="33"/>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0"/>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4"/>
        <v>0</v>
      </c>
      <c r="DO280" s="683"/>
    </row>
    <row r="281" spans="1:119" ht="25.5" customHeight="1" thickTop="1" thickBot="1" x14ac:dyDescent="0.25">
      <c r="A281" s="676">
        <f t="shared" si="31"/>
        <v>266</v>
      </c>
      <c r="B281" s="1054"/>
      <c r="C281" s="1055"/>
      <c r="D281" s="83"/>
      <c r="E281" s="954"/>
      <c r="F281" s="52"/>
      <c r="G281" s="103"/>
      <c r="H281" s="1058"/>
      <c r="I281" s="684" t="str">
        <f t="shared" si="28"/>
        <v/>
      </c>
      <c r="J281" s="685">
        <f t="shared" si="29"/>
        <v>0</v>
      </c>
      <c r="K281" s="1260"/>
      <c r="L281" s="1253"/>
      <c r="M281" s="1259"/>
      <c r="N281" s="719"/>
      <c r="O281" s="720"/>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2"/>
        <v>0</v>
      </c>
      <c r="AQ281" s="42"/>
      <c r="AR281" s="42"/>
      <c r="AS281" s="42"/>
      <c r="AT281" s="43"/>
      <c r="AU281" s="687">
        <f t="shared" si="33"/>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0"/>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4"/>
        <v>0</v>
      </c>
      <c r="DO281" s="683"/>
    </row>
    <row r="282" spans="1:119" ht="25.5" customHeight="1" thickTop="1" thickBot="1" x14ac:dyDescent="0.25">
      <c r="A282" s="676">
        <f t="shared" si="31"/>
        <v>267</v>
      </c>
      <c r="B282" s="1054"/>
      <c r="C282" s="1055"/>
      <c r="D282" s="83"/>
      <c r="E282" s="954"/>
      <c r="F282" s="52"/>
      <c r="G282" s="103"/>
      <c r="H282" s="1058"/>
      <c r="I282" s="684" t="str">
        <f t="shared" si="28"/>
        <v/>
      </c>
      <c r="J282" s="685">
        <f t="shared" si="29"/>
        <v>0</v>
      </c>
      <c r="K282" s="1260"/>
      <c r="L282" s="1253"/>
      <c r="M282" s="1259"/>
      <c r="N282" s="719"/>
      <c r="O282" s="720"/>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2"/>
        <v>0</v>
      </c>
      <c r="AQ282" s="42"/>
      <c r="AR282" s="42"/>
      <c r="AS282" s="42"/>
      <c r="AT282" s="43"/>
      <c r="AU282" s="687">
        <f t="shared" si="33"/>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0"/>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4"/>
        <v>0</v>
      </c>
      <c r="DO282" s="683"/>
    </row>
    <row r="283" spans="1:119" ht="25.5" customHeight="1" thickTop="1" thickBot="1" x14ac:dyDescent="0.25">
      <c r="A283" s="676">
        <f t="shared" si="31"/>
        <v>268</v>
      </c>
      <c r="B283" s="1054"/>
      <c r="C283" s="1055"/>
      <c r="D283" s="83"/>
      <c r="E283" s="954"/>
      <c r="F283" s="52"/>
      <c r="G283" s="103"/>
      <c r="H283" s="1058"/>
      <c r="I283" s="684" t="str">
        <f t="shared" si="28"/>
        <v/>
      </c>
      <c r="J283" s="685">
        <f t="shared" si="29"/>
        <v>0</v>
      </c>
      <c r="K283" s="1260"/>
      <c r="L283" s="1253"/>
      <c r="M283" s="1259"/>
      <c r="N283" s="719"/>
      <c r="O283" s="720"/>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2"/>
        <v>0</v>
      </c>
      <c r="AQ283" s="42"/>
      <c r="AR283" s="42"/>
      <c r="AS283" s="42"/>
      <c r="AT283" s="43"/>
      <c r="AU283" s="687">
        <f t="shared" si="33"/>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0"/>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4"/>
        <v>0</v>
      </c>
      <c r="DO283" s="683"/>
    </row>
    <row r="284" spans="1:119" ht="25.5" customHeight="1" thickTop="1" thickBot="1" x14ac:dyDescent="0.25">
      <c r="A284" s="676">
        <f t="shared" si="31"/>
        <v>269</v>
      </c>
      <c r="B284" s="1054"/>
      <c r="C284" s="1055"/>
      <c r="D284" s="83"/>
      <c r="E284" s="954"/>
      <c r="F284" s="52"/>
      <c r="G284" s="103"/>
      <c r="H284" s="1058"/>
      <c r="I284" s="684" t="str">
        <f t="shared" si="28"/>
        <v/>
      </c>
      <c r="J284" s="685">
        <f t="shared" si="29"/>
        <v>0</v>
      </c>
      <c r="K284" s="1260"/>
      <c r="L284" s="1253"/>
      <c r="M284" s="1259"/>
      <c r="N284" s="719"/>
      <c r="O284" s="720"/>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2"/>
        <v>0</v>
      </c>
      <c r="AQ284" s="42"/>
      <c r="AR284" s="42"/>
      <c r="AS284" s="42"/>
      <c r="AT284" s="43"/>
      <c r="AU284" s="687">
        <f t="shared" si="33"/>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0"/>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4"/>
        <v>0</v>
      </c>
      <c r="DO284" s="683"/>
    </row>
    <row r="285" spans="1:119" ht="25.5" customHeight="1" thickTop="1" thickBot="1" x14ac:dyDescent="0.25">
      <c r="A285" s="676">
        <f t="shared" si="31"/>
        <v>270</v>
      </c>
      <c r="B285" s="1054"/>
      <c r="C285" s="1055"/>
      <c r="D285" s="83"/>
      <c r="E285" s="954"/>
      <c r="F285" s="52"/>
      <c r="G285" s="103"/>
      <c r="H285" s="1058"/>
      <c r="I285" s="684" t="str">
        <f t="shared" si="28"/>
        <v/>
      </c>
      <c r="J285" s="685">
        <f t="shared" si="29"/>
        <v>0</v>
      </c>
      <c r="K285" s="1260"/>
      <c r="L285" s="1253"/>
      <c r="M285" s="1259"/>
      <c r="N285" s="719"/>
      <c r="O285" s="720"/>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2"/>
        <v>0</v>
      </c>
      <c r="AQ285" s="42"/>
      <c r="AR285" s="42"/>
      <c r="AS285" s="42"/>
      <c r="AT285" s="43"/>
      <c r="AU285" s="687">
        <f t="shared" si="33"/>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0"/>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4"/>
        <v>0</v>
      </c>
      <c r="DO285" s="683"/>
    </row>
    <row r="286" spans="1:119" ht="25.5" customHeight="1" thickTop="1" thickBot="1" x14ac:dyDescent="0.25">
      <c r="A286" s="676">
        <f t="shared" si="31"/>
        <v>271</v>
      </c>
      <c r="B286" s="1054"/>
      <c r="C286" s="1055"/>
      <c r="D286" s="83"/>
      <c r="E286" s="954"/>
      <c r="F286" s="52"/>
      <c r="G286" s="103"/>
      <c r="H286" s="1058"/>
      <c r="I286" s="684" t="str">
        <f t="shared" si="28"/>
        <v/>
      </c>
      <c r="J286" s="685">
        <f t="shared" si="29"/>
        <v>0</v>
      </c>
      <c r="K286" s="1260"/>
      <c r="L286" s="1253"/>
      <c r="M286" s="1259"/>
      <c r="N286" s="719"/>
      <c r="O286" s="720"/>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2"/>
        <v>0</v>
      </c>
      <c r="AQ286" s="42"/>
      <c r="AR286" s="42"/>
      <c r="AS286" s="42"/>
      <c r="AT286" s="43"/>
      <c r="AU286" s="687">
        <f t="shared" si="33"/>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0"/>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4"/>
        <v>0</v>
      </c>
      <c r="DO286" s="683"/>
    </row>
    <row r="287" spans="1:119" ht="25.5" customHeight="1" thickTop="1" thickBot="1" x14ac:dyDescent="0.25">
      <c r="A287" s="676">
        <f t="shared" si="31"/>
        <v>272</v>
      </c>
      <c r="B287" s="1054"/>
      <c r="C287" s="1055"/>
      <c r="D287" s="83"/>
      <c r="E287" s="954"/>
      <c r="F287" s="52"/>
      <c r="G287" s="103"/>
      <c r="H287" s="1058"/>
      <c r="I287" s="684" t="str">
        <f t="shared" si="28"/>
        <v/>
      </c>
      <c r="J287" s="685">
        <f t="shared" si="29"/>
        <v>0</v>
      </c>
      <c r="K287" s="1260"/>
      <c r="L287" s="1253"/>
      <c r="M287" s="1259"/>
      <c r="N287" s="719"/>
      <c r="O287" s="720"/>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2"/>
        <v>0</v>
      </c>
      <c r="AQ287" s="42"/>
      <c r="AR287" s="42"/>
      <c r="AS287" s="42"/>
      <c r="AT287" s="43"/>
      <c r="AU287" s="687">
        <f t="shared" si="33"/>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0"/>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4"/>
        <v>0</v>
      </c>
      <c r="DO287" s="683"/>
    </row>
    <row r="288" spans="1:119" ht="25.5" customHeight="1" thickTop="1" thickBot="1" x14ac:dyDescent="0.25">
      <c r="A288" s="676">
        <f t="shared" si="31"/>
        <v>273</v>
      </c>
      <c r="B288" s="1054"/>
      <c r="C288" s="1055"/>
      <c r="D288" s="83"/>
      <c r="E288" s="954"/>
      <c r="F288" s="52"/>
      <c r="G288" s="103"/>
      <c r="H288" s="1058"/>
      <c r="I288" s="684" t="str">
        <f t="shared" si="28"/>
        <v/>
      </c>
      <c r="J288" s="685">
        <f t="shared" si="29"/>
        <v>0</v>
      </c>
      <c r="K288" s="1260"/>
      <c r="L288" s="1253"/>
      <c r="M288" s="1259"/>
      <c r="N288" s="719"/>
      <c r="O288" s="720"/>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2"/>
        <v>0</v>
      </c>
      <c r="AQ288" s="42"/>
      <c r="AR288" s="42"/>
      <c r="AS288" s="42"/>
      <c r="AT288" s="43"/>
      <c r="AU288" s="687">
        <f t="shared" si="33"/>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0"/>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4"/>
        <v>0</v>
      </c>
      <c r="DO288" s="683"/>
    </row>
    <row r="289" spans="1:119" ht="25.5" customHeight="1" thickTop="1" thickBot="1" x14ac:dyDescent="0.25">
      <c r="A289" s="676">
        <f t="shared" si="31"/>
        <v>274</v>
      </c>
      <c r="B289" s="1054"/>
      <c r="C289" s="1055"/>
      <c r="D289" s="83"/>
      <c r="E289" s="954"/>
      <c r="F289" s="52"/>
      <c r="G289" s="103"/>
      <c r="H289" s="1058"/>
      <c r="I289" s="684" t="str">
        <f t="shared" si="28"/>
        <v/>
      </c>
      <c r="J289" s="685">
        <f t="shared" si="29"/>
        <v>0</v>
      </c>
      <c r="K289" s="1260"/>
      <c r="L289" s="1253"/>
      <c r="M289" s="1259"/>
      <c r="N289" s="719"/>
      <c r="O289" s="720"/>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2"/>
        <v>0</v>
      </c>
      <c r="AQ289" s="42"/>
      <c r="AR289" s="42"/>
      <c r="AS289" s="42"/>
      <c r="AT289" s="43"/>
      <c r="AU289" s="687">
        <f t="shared" si="33"/>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0"/>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4"/>
        <v>0</v>
      </c>
      <c r="DO289" s="683"/>
    </row>
    <row r="290" spans="1:119" ht="25.5" customHeight="1" thickTop="1" thickBot="1" x14ac:dyDescent="0.25">
      <c r="A290" s="676">
        <f t="shared" si="31"/>
        <v>275</v>
      </c>
      <c r="B290" s="1054"/>
      <c r="C290" s="1055"/>
      <c r="D290" s="83"/>
      <c r="E290" s="954"/>
      <c r="F290" s="52"/>
      <c r="G290" s="103"/>
      <c r="H290" s="1058"/>
      <c r="I290" s="684" t="str">
        <f t="shared" si="28"/>
        <v/>
      </c>
      <c r="J290" s="685">
        <f t="shared" si="29"/>
        <v>0</v>
      </c>
      <c r="K290" s="1260"/>
      <c r="L290" s="1253"/>
      <c r="M290" s="1259"/>
      <c r="N290" s="719"/>
      <c r="O290" s="720"/>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2"/>
        <v>0</v>
      </c>
      <c r="AQ290" s="42"/>
      <c r="AR290" s="42"/>
      <c r="AS290" s="42"/>
      <c r="AT290" s="43"/>
      <c r="AU290" s="687">
        <f t="shared" si="33"/>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0"/>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4"/>
        <v>0</v>
      </c>
      <c r="DO290" s="683"/>
    </row>
    <row r="291" spans="1:119" ht="25.5" customHeight="1" thickTop="1" thickBot="1" x14ac:dyDescent="0.25">
      <c r="A291" s="676">
        <f t="shared" si="31"/>
        <v>276</v>
      </c>
      <c r="B291" s="1054"/>
      <c r="C291" s="1055"/>
      <c r="D291" s="83"/>
      <c r="E291" s="954"/>
      <c r="F291" s="52"/>
      <c r="G291" s="103"/>
      <c r="H291" s="1058"/>
      <c r="I291" s="684" t="str">
        <f t="shared" si="28"/>
        <v/>
      </c>
      <c r="J291" s="685">
        <f t="shared" si="29"/>
        <v>0</v>
      </c>
      <c r="K291" s="1260"/>
      <c r="L291" s="1253"/>
      <c r="M291" s="1259"/>
      <c r="N291" s="719"/>
      <c r="O291" s="720"/>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2"/>
        <v>0</v>
      </c>
      <c r="AQ291" s="42"/>
      <c r="AR291" s="42"/>
      <c r="AS291" s="42"/>
      <c r="AT291" s="43"/>
      <c r="AU291" s="687">
        <f t="shared" si="33"/>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0"/>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4"/>
        <v>0</v>
      </c>
      <c r="DO291" s="683"/>
    </row>
    <row r="292" spans="1:119" ht="25.5" customHeight="1" thickTop="1" thickBot="1" x14ac:dyDescent="0.25">
      <c r="A292" s="676">
        <f t="shared" si="31"/>
        <v>277</v>
      </c>
      <c r="B292" s="1054"/>
      <c r="C292" s="1055"/>
      <c r="D292" s="83"/>
      <c r="E292" s="954"/>
      <c r="F292" s="52"/>
      <c r="G292" s="103"/>
      <c r="H292" s="1058"/>
      <c r="I292" s="684" t="str">
        <f t="shared" si="28"/>
        <v/>
      </c>
      <c r="J292" s="685">
        <f t="shared" si="29"/>
        <v>0</v>
      </c>
      <c r="K292" s="1260"/>
      <c r="L292" s="1253"/>
      <c r="M292" s="1259"/>
      <c r="N292" s="719"/>
      <c r="O292" s="720"/>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2"/>
        <v>0</v>
      </c>
      <c r="AQ292" s="42"/>
      <c r="AR292" s="42"/>
      <c r="AS292" s="42"/>
      <c r="AT292" s="43"/>
      <c r="AU292" s="687">
        <f t="shared" si="33"/>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0"/>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4"/>
        <v>0</v>
      </c>
      <c r="DO292" s="683"/>
    </row>
    <row r="293" spans="1:119" ht="25.5" customHeight="1" thickTop="1" thickBot="1" x14ac:dyDescent="0.25">
      <c r="A293" s="676">
        <f t="shared" si="31"/>
        <v>278</v>
      </c>
      <c r="B293" s="1054"/>
      <c r="C293" s="1055"/>
      <c r="D293" s="83"/>
      <c r="E293" s="954"/>
      <c r="F293" s="52"/>
      <c r="G293" s="103"/>
      <c r="H293" s="1058"/>
      <c r="I293" s="684" t="str">
        <f t="shared" si="28"/>
        <v/>
      </c>
      <c r="J293" s="685">
        <f t="shared" si="29"/>
        <v>0</v>
      </c>
      <c r="K293" s="1260"/>
      <c r="L293" s="1253"/>
      <c r="M293" s="1259"/>
      <c r="N293" s="719"/>
      <c r="O293" s="720"/>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2"/>
        <v>0</v>
      </c>
      <c r="AQ293" s="42"/>
      <c r="AR293" s="42"/>
      <c r="AS293" s="42"/>
      <c r="AT293" s="43"/>
      <c r="AU293" s="687">
        <f t="shared" si="33"/>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0"/>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4"/>
        <v>0</v>
      </c>
      <c r="DO293" s="683"/>
    </row>
    <row r="294" spans="1:119" ht="25.5" customHeight="1" thickTop="1" thickBot="1" x14ac:dyDescent="0.25">
      <c r="A294" s="676">
        <f t="shared" si="31"/>
        <v>279</v>
      </c>
      <c r="B294" s="1054"/>
      <c r="C294" s="1055"/>
      <c r="D294" s="83"/>
      <c r="E294" s="954"/>
      <c r="F294" s="52"/>
      <c r="G294" s="103"/>
      <c r="H294" s="1058"/>
      <c r="I294" s="684" t="str">
        <f t="shared" si="28"/>
        <v/>
      </c>
      <c r="J294" s="685">
        <f t="shared" si="29"/>
        <v>0</v>
      </c>
      <c r="K294" s="1260"/>
      <c r="L294" s="1253"/>
      <c r="M294" s="1259"/>
      <c r="N294" s="719"/>
      <c r="O294" s="720"/>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2"/>
        <v>0</v>
      </c>
      <c r="AQ294" s="42"/>
      <c r="AR294" s="42"/>
      <c r="AS294" s="42"/>
      <c r="AT294" s="43"/>
      <c r="AU294" s="687">
        <f t="shared" si="33"/>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0"/>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4"/>
        <v>0</v>
      </c>
      <c r="DO294" s="683"/>
    </row>
    <row r="295" spans="1:119" ht="25.5" customHeight="1" thickTop="1" thickBot="1" x14ac:dyDescent="0.25">
      <c r="A295" s="676">
        <f t="shared" si="31"/>
        <v>280</v>
      </c>
      <c r="B295" s="1054"/>
      <c r="C295" s="1055"/>
      <c r="D295" s="83"/>
      <c r="E295" s="954"/>
      <c r="F295" s="52"/>
      <c r="G295" s="103"/>
      <c r="H295" s="1058"/>
      <c r="I295" s="684" t="str">
        <f t="shared" si="28"/>
        <v/>
      </c>
      <c r="J295" s="685">
        <f t="shared" si="29"/>
        <v>0</v>
      </c>
      <c r="K295" s="1260"/>
      <c r="L295" s="1253"/>
      <c r="M295" s="1259"/>
      <c r="N295" s="719"/>
      <c r="O295" s="720"/>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2"/>
        <v>0</v>
      </c>
      <c r="AQ295" s="42"/>
      <c r="AR295" s="42"/>
      <c r="AS295" s="42"/>
      <c r="AT295" s="43"/>
      <c r="AU295" s="687">
        <f t="shared" si="33"/>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0"/>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4"/>
        <v>0</v>
      </c>
      <c r="DO295" s="683"/>
    </row>
    <row r="296" spans="1:119" ht="25.5" customHeight="1" thickTop="1" thickBot="1" x14ac:dyDescent="0.25">
      <c r="A296" s="676">
        <f t="shared" si="31"/>
        <v>281</v>
      </c>
      <c r="B296" s="1054"/>
      <c r="C296" s="1055"/>
      <c r="D296" s="83"/>
      <c r="E296" s="954"/>
      <c r="F296" s="52"/>
      <c r="G296" s="103"/>
      <c r="H296" s="1058"/>
      <c r="I296" s="684" t="str">
        <f t="shared" si="28"/>
        <v/>
      </c>
      <c r="J296" s="685">
        <f t="shared" si="29"/>
        <v>0</v>
      </c>
      <c r="K296" s="1260"/>
      <c r="L296" s="1253"/>
      <c r="M296" s="1259"/>
      <c r="N296" s="719"/>
      <c r="O296" s="720"/>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2"/>
        <v>0</v>
      </c>
      <c r="AQ296" s="42"/>
      <c r="AR296" s="42"/>
      <c r="AS296" s="42"/>
      <c r="AT296" s="43"/>
      <c r="AU296" s="687">
        <f t="shared" si="33"/>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0"/>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4"/>
        <v>0</v>
      </c>
      <c r="DO296" s="683"/>
    </row>
    <row r="297" spans="1:119" ht="25.5" customHeight="1" thickTop="1" thickBot="1" x14ac:dyDescent="0.25">
      <c r="A297" s="676">
        <f t="shared" si="31"/>
        <v>282</v>
      </c>
      <c r="B297" s="1054"/>
      <c r="C297" s="1055"/>
      <c r="D297" s="83"/>
      <c r="E297" s="954"/>
      <c r="F297" s="52"/>
      <c r="G297" s="103"/>
      <c r="H297" s="1058"/>
      <c r="I297" s="684" t="str">
        <f t="shared" si="28"/>
        <v/>
      </c>
      <c r="J297" s="685">
        <f t="shared" si="29"/>
        <v>0</v>
      </c>
      <c r="K297" s="1260"/>
      <c r="L297" s="1253"/>
      <c r="M297" s="1259"/>
      <c r="N297" s="719"/>
      <c r="O297" s="720"/>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2"/>
        <v>0</v>
      </c>
      <c r="AQ297" s="42"/>
      <c r="AR297" s="42"/>
      <c r="AS297" s="42"/>
      <c r="AT297" s="43"/>
      <c r="AU297" s="687">
        <f t="shared" si="33"/>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0"/>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4"/>
        <v>0</v>
      </c>
      <c r="DO297" s="683"/>
    </row>
    <row r="298" spans="1:119" ht="25.5" customHeight="1" thickTop="1" thickBot="1" x14ac:dyDescent="0.25">
      <c r="A298" s="676">
        <f t="shared" si="31"/>
        <v>283</v>
      </c>
      <c r="B298" s="1054"/>
      <c r="C298" s="1055"/>
      <c r="D298" s="83"/>
      <c r="E298" s="954"/>
      <c r="F298" s="52"/>
      <c r="G298" s="103"/>
      <c r="H298" s="1058"/>
      <c r="I298" s="684" t="str">
        <f t="shared" si="28"/>
        <v/>
      </c>
      <c r="J298" s="685">
        <f t="shared" si="29"/>
        <v>0</v>
      </c>
      <c r="K298" s="1260"/>
      <c r="L298" s="1253"/>
      <c r="M298" s="1259"/>
      <c r="N298" s="719"/>
      <c r="O298" s="720"/>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2"/>
        <v>0</v>
      </c>
      <c r="AQ298" s="42"/>
      <c r="AR298" s="42"/>
      <c r="AS298" s="42"/>
      <c r="AT298" s="43"/>
      <c r="AU298" s="687">
        <f t="shared" si="33"/>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0"/>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4"/>
        <v>0</v>
      </c>
      <c r="DO298" s="683"/>
    </row>
    <row r="299" spans="1:119" ht="25.5" customHeight="1" thickTop="1" thickBot="1" x14ac:dyDescent="0.25">
      <c r="A299" s="676">
        <f t="shared" si="31"/>
        <v>284</v>
      </c>
      <c r="B299" s="1054"/>
      <c r="C299" s="1055"/>
      <c r="D299" s="83"/>
      <c r="E299" s="954"/>
      <c r="F299" s="52"/>
      <c r="G299" s="103"/>
      <c r="H299" s="1058"/>
      <c r="I299" s="684" t="str">
        <f t="shared" si="28"/>
        <v/>
      </c>
      <c r="J299" s="685">
        <f t="shared" si="29"/>
        <v>0</v>
      </c>
      <c r="K299" s="1260"/>
      <c r="L299" s="1253"/>
      <c r="M299" s="1259"/>
      <c r="N299" s="719"/>
      <c r="O299" s="720"/>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2"/>
        <v>0</v>
      </c>
      <c r="AQ299" s="42"/>
      <c r="AR299" s="42"/>
      <c r="AS299" s="42"/>
      <c r="AT299" s="43"/>
      <c r="AU299" s="687">
        <f t="shared" si="33"/>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0"/>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4"/>
        <v>0</v>
      </c>
      <c r="DO299" s="683"/>
    </row>
    <row r="300" spans="1:119" ht="25.5" customHeight="1" thickTop="1" thickBot="1" x14ac:dyDescent="0.25">
      <c r="A300" s="676">
        <f t="shared" si="31"/>
        <v>285</v>
      </c>
      <c r="B300" s="1054"/>
      <c r="C300" s="1055"/>
      <c r="D300" s="83"/>
      <c r="E300" s="954"/>
      <c r="F300" s="52"/>
      <c r="G300" s="103"/>
      <c r="H300" s="1058"/>
      <c r="I300" s="684" t="str">
        <f t="shared" si="28"/>
        <v/>
      </c>
      <c r="J300" s="685">
        <f t="shared" si="29"/>
        <v>0</v>
      </c>
      <c r="K300" s="1260"/>
      <c r="L300" s="1253"/>
      <c r="M300" s="1259"/>
      <c r="N300" s="719"/>
      <c r="O300" s="720"/>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2"/>
        <v>0</v>
      </c>
      <c r="AQ300" s="42"/>
      <c r="AR300" s="42"/>
      <c r="AS300" s="42"/>
      <c r="AT300" s="43"/>
      <c r="AU300" s="687">
        <f t="shared" si="33"/>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0"/>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4"/>
        <v>0</v>
      </c>
      <c r="DO300" s="683"/>
    </row>
    <row r="301" spans="1:119" ht="25.5" customHeight="1" thickTop="1" thickBot="1" x14ac:dyDescent="0.25">
      <c r="A301" s="676">
        <f t="shared" si="31"/>
        <v>286</v>
      </c>
      <c r="B301" s="1054"/>
      <c r="C301" s="1055"/>
      <c r="D301" s="83"/>
      <c r="E301" s="954"/>
      <c r="F301" s="52"/>
      <c r="G301" s="103"/>
      <c r="H301" s="1058"/>
      <c r="I301" s="684" t="str">
        <f t="shared" si="28"/>
        <v/>
      </c>
      <c r="J301" s="685">
        <f t="shared" si="29"/>
        <v>0</v>
      </c>
      <c r="K301" s="1260"/>
      <c r="L301" s="1253"/>
      <c r="M301" s="1259"/>
      <c r="N301" s="719"/>
      <c r="O301" s="720"/>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2"/>
        <v>0</v>
      </c>
      <c r="AQ301" s="42"/>
      <c r="AR301" s="42"/>
      <c r="AS301" s="42"/>
      <c r="AT301" s="43"/>
      <c r="AU301" s="687">
        <f t="shared" si="33"/>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0"/>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4"/>
        <v>0</v>
      </c>
      <c r="DO301" s="683"/>
    </row>
    <row r="302" spans="1:119" ht="25.5" customHeight="1" thickTop="1" thickBot="1" x14ac:dyDescent="0.25">
      <c r="A302" s="676">
        <f t="shared" si="31"/>
        <v>287</v>
      </c>
      <c r="B302" s="1054"/>
      <c r="C302" s="1055"/>
      <c r="D302" s="83"/>
      <c r="E302" s="954"/>
      <c r="F302" s="52"/>
      <c r="G302" s="103"/>
      <c r="H302" s="1058"/>
      <c r="I302" s="684" t="str">
        <f t="shared" si="28"/>
        <v/>
      </c>
      <c r="J302" s="685">
        <f t="shared" si="29"/>
        <v>0</v>
      </c>
      <c r="K302" s="1260"/>
      <c r="L302" s="1253"/>
      <c r="M302" s="1259"/>
      <c r="N302" s="719"/>
      <c r="O302" s="720"/>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2"/>
        <v>0</v>
      </c>
      <c r="AQ302" s="42"/>
      <c r="AR302" s="42"/>
      <c r="AS302" s="42"/>
      <c r="AT302" s="43"/>
      <c r="AU302" s="687">
        <f t="shared" si="33"/>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0"/>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4"/>
        <v>0</v>
      </c>
      <c r="DO302" s="683"/>
    </row>
    <row r="303" spans="1:119" ht="25.5" customHeight="1" thickTop="1" thickBot="1" x14ac:dyDescent="0.25">
      <c r="A303" s="676">
        <f t="shared" si="31"/>
        <v>288</v>
      </c>
      <c r="B303" s="1054"/>
      <c r="C303" s="1055"/>
      <c r="D303" s="83"/>
      <c r="E303" s="954"/>
      <c r="F303" s="52"/>
      <c r="G303" s="103"/>
      <c r="H303" s="1058"/>
      <c r="I303" s="684" t="str">
        <f t="shared" si="28"/>
        <v/>
      </c>
      <c r="J303" s="685">
        <f t="shared" si="29"/>
        <v>0</v>
      </c>
      <c r="K303" s="1260"/>
      <c r="L303" s="1253"/>
      <c r="M303" s="1259"/>
      <c r="N303" s="719"/>
      <c r="O303" s="720"/>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2"/>
        <v>0</v>
      </c>
      <c r="AQ303" s="42"/>
      <c r="AR303" s="42"/>
      <c r="AS303" s="42"/>
      <c r="AT303" s="43"/>
      <c r="AU303" s="687">
        <f t="shared" si="33"/>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0"/>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4"/>
        <v>0</v>
      </c>
      <c r="DO303" s="683"/>
    </row>
    <row r="304" spans="1:119" ht="25.5" customHeight="1" thickTop="1" thickBot="1" x14ac:dyDescent="0.25">
      <c r="A304" s="676">
        <f t="shared" si="31"/>
        <v>289</v>
      </c>
      <c r="B304" s="1054"/>
      <c r="C304" s="1055"/>
      <c r="D304" s="83"/>
      <c r="E304" s="954"/>
      <c r="F304" s="52"/>
      <c r="G304" s="103"/>
      <c r="H304" s="1058"/>
      <c r="I304" s="684" t="str">
        <f t="shared" si="28"/>
        <v/>
      </c>
      <c r="J304" s="685">
        <f t="shared" si="29"/>
        <v>0</v>
      </c>
      <c r="K304" s="1260"/>
      <c r="L304" s="1253"/>
      <c r="M304" s="1259"/>
      <c r="N304" s="719"/>
      <c r="O304" s="720"/>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2"/>
        <v>0</v>
      </c>
      <c r="AQ304" s="42"/>
      <c r="AR304" s="42"/>
      <c r="AS304" s="42"/>
      <c r="AT304" s="43"/>
      <c r="AU304" s="687">
        <f t="shared" si="33"/>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0"/>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4"/>
        <v>0</v>
      </c>
      <c r="DO304" s="683"/>
    </row>
    <row r="305" spans="1:119" ht="25.5" customHeight="1" thickTop="1" thickBot="1" x14ac:dyDescent="0.25">
      <c r="A305" s="676">
        <f t="shared" si="31"/>
        <v>290</v>
      </c>
      <c r="B305" s="1054"/>
      <c r="C305" s="1055"/>
      <c r="D305" s="83"/>
      <c r="E305" s="954"/>
      <c r="F305" s="52"/>
      <c r="G305" s="103"/>
      <c r="H305" s="1058"/>
      <c r="I305" s="684" t="str">
        <f t="shared" si="28"/>
        <v/>
      </c>
      <c r="J305" s="685">
        <f t="shared" si="29"/>
        <v>0</v>
      </c>
      <c r="K305" s="1260"/>
      <c r="L305" s="1253"/>
      <c r="M305" s="1259"/>
      <c r="N305" s="719"/>
      <c r="O305" s="720"/>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2"/>
        <v>0</v>
      </c>
      <c r="AQ305" s="42"/>
      <c r="AR305" s="42"/>
      <c r="AS305" s="42"/>
      <c r="AT305" s="43"/>
      <c r="AU305" s="687">
        <f t="shared" si="33"/>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0"/>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4"/>
        <v>0</v>
      </c>
      <c r="DO305" s="683"/>
    </row>
    <row r="306" spans="1:119" ht="25.5" customHeight="1" thickTop="1" thickBot="1" x14ac:dyDescent="0.25">
      <c r="A306" s="676">
        <f t="shared" si="31"/>
        <v>291</v>
      </c>
      <c r="B306" s="1054"/>
      <c r="C306" s="1055"/>
      <c r="D306" s="83"/>
      <c r="E306" s="954"/>
      <c r="F306" s="52"/>
      <c r="G306" s="103"/>
      <c r="H306" s="1058"/>
      <c r="I306" s="684" t="str">
        <f t="shared" si="28"/>
        <v/>
      </c>
      <c r="J306" s="685">
        <f t="shared" si="29"/>
        <v>0</v>
      </c>
      <c r="K306" s="1260"/>
      <c r="L306" s="1253"/>
      <c r="M306" s="1259"/>
      <c r="N306" s="719"/>
      <c r="O306" s="720"/>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2"/>
        <v>0</v>
      </c>
      <c r="AQ306" s="42"/>
      <c r="AR306" s="42"/>
      <c r="AS306" s="42"/>
      <c r="AT306" s="43"/>
      <c r="AU306" s="687">
        <f t="shared" si="33"/>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0"/>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4"/>
        <v>0</v>
      </c>
      <c r="DO306" s="683"/>
    </row>
    <row r="307" spans="1:119" ht="25.5" customHeight="1" thickTop="1" thickBot="1" x14ac:dyDescent="0.25">
      <c r="A307" s="676">
        <f t="shared" si="31"/>
        <v>292</v>
      </c>
      <c r="B307" s="1054"/>
      <c r="C307" s="1055"/>
      <c r="D307" s="83"/>
      <c r="E307" s="954"/>
      <c r="F307" s="52"/>
      <c r="G307" s="103"/>
      <c r="H307" s="1058"/>
      <c r="I307" s="684" t="str">
        <f t="shared" si="28"/>
        <v/>
      </c>
      <c r="J307" s="685">
        <f t="shared" si="29"/>
        <v>0</v>
      </c>
      <c r="K307" s="1260"/>
      <c r="L307" s="1253"/>
      <c r="M307" s="1259"/>
      <c r="N307" s="719"/>
      <c r="O307" s="720"/>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2"/>
        <v>0</v>
      </c>
      <c r="AQ307" s="42"/>
      <c r="AR307" s="42"/>
      <c r="AS307" s="42"/>
      <c r="AT307" s="43"/>
      <c r="AU307" s="687">
        <f t="shared" si="33"/>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0"/>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4"/>
        <v>0</v>
      </c>
      <c r="DO307" s="683"/>
    </row>
    <row r="308" spans="1:119" ht="25.5" customHeight="1" thickTop="1" thickBot="1" x14ac:dyDescent="0.25">
      <c r="A308" s="676">
        <f t="shared" si="31"/>
        <v>293</v>
      </c>
      <c r="B308" s="1054"/>
      <c r="C308" s="1055"/>
      <c r="D308" s="83"/>
      <c r="E308" s="954"/>
      <c r="F308" s="52"/>
      <c r="G308" s="103"/>
      <c r="H308" s="1058"/>
      <c r="I308" s="684" t="str">
        <f t="shared" si="28"/>
        <v/>
      </c>
      <c r="J308" s="685">
        <f t="shared" si="29"/>
        <v>0</v>
      </c>
      <c r="K308" s="1260"/>
      <c r="L308" s="1253"/>
      <c r="M308" s="1259"/>
      <c r="N308" s="719"/>
      <c r="O308" s="720"/>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2"/>
        <v>0</v>
      </c>
      <c r="AQ308" s="42"/>
      <c r="AR308" s="42"/>
      <c r="AS308" s="42"/>
      <c r="AT308" s="43"/>
      <c r="AU308" s="687">
        <f t="shared" si="33"/>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0"/>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4"/>
        <v>0</v>
      </c>
      <c r="DO308" s="683"/>
    </row>
    <row r="309" spans="1:119" ht="25.5" customHeight="1" thickTop="1" thickBot="1" x14ac:dyDescent="0.25">
      <c r="A309" s="676">
        <f t="shared" si="31"/>
        <v>294</v>
      </c>
      <c r="B309" s="1054"/>
      <c r="C309" s="1055"/>
      <c r="D309" s="83"/>
      <c r="E309" s="954"/>
      <c r="F309" s="52"/>
      <c r="G309" s="103"/>
      <c r="H309" s="1058"/>
      <c r="I309" s="684" t="str">
        <f t="shared" si="28"/>
        <v/>
      </c>
      <c r="J309" s="685">
        <f t="shared" si="29"/>
        <v>0</v>
      </c>
      <c r="K309" s="1260"/>
      <c r="L309" s="1253"/>
      <c r="M309" s="1259"/>
      <c r="N309" s="719"/>
      <c r="O309" s="720"/>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2"/>
        <v>0</v>
      </c>
      <c r="AQ309" s="42"/>
      <c r="AR309" s="42"/>
      <c r="AS309" s="42"/>
      <c r="AT309" s="43"/>
      <c r="AU309" s="687">
        <f t="shared" si="33"/>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0"/>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4"/>
        <v>0</v>
      </c>
      <c r="DO309" s="683"/>
    </row>
    <row r="310" spans="1:119" ht="25.5" customHeight="1" thickTop="1" thickBot="1" x14ac:dyDescent="0.25">
      <c r="A310" s="676">
        <f t="shared" si="31"/>
        <v>295</v>
      </c>
      <c r="B310" s="1054"/>
      <c r="C310" s="1055"/>
      <c r="D310" s="83"/>
      <c r="E310" s="954"/>
      <c r="F310" s="52"/>
      <c r="G310" s="103"/>
      <c r="H310" s="1058"/>
      <c r="I310" s="684" t="str">
        <f t="shared" si="28"/>
        <v/>
      </c>
      <c r="J310" s="685">
        <f t="shared" si="29"/>
        <v>0</v>
      </c>
      <c r="K310" s="1260"/>
      <c r="L310" s="1253"/>
      <c r="M310" s="1259"/>
      <c r="N310" s="719"/>
      <c r="O310" s="720"/>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2"/>
        <v>0</v>
      </c>
      <c r="AQ310" s="42"/>
      <c r="AR310" s="42"/>
      <c r="AS310" s="42"/>
      <c r="AT310" s="43"/>
      <c r="AU310" s="687">
        <f t="shared" si="33"/>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0"/>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4"/>
        <v>0</v>
      </c>
      <c r="DO310" s="683"/>
    </row>
    <row r="311" spans="1:119" ht="25.5" customHeight="1" thickTop="1" thickBot="1" x14ac:dyDescent="0.25">
      <c r="A311" s="676">
        <f t="shared" si="31"/>
        <v>296</v>
      </c>
      <c r="B311" s="1054"/>
      <c r="C311" s="1055"/>
      <c r="D311" s="83"/>
      <c r="E311" s="954"/>
      <c r="F311" s="52"/>
      <c r="G311" s="103"/>
      <c r="H311" s="1058"/>
      <c r="I311" s="684" t="str">
        <f t="shared" si="28"/>
        <v/>
      </c>
      <c r="J311" s="685">
        <f t="shared" si="29"/>
        <v>0</v>
      </c>
      <c r="K311" s="1260"/>
      <c r="L311" s="1253"/>
      <c r="M311" s="1259"/>
      <c r="N311" s="719"/>
      <c r="O311" s="720"/>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2"/>
        <v>0</v>
      </c>
      <c r="AQ311" s="42"/>
      <c r="AR311" s="42"/>
      <c r="AS311" s="42"/>
      <c r="AT311" s="43"/>
      <c r="AU311" s="687">
        <f t="shared" si="33"/>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0"/>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4"/>
        <v>0</v>
      </c>
      <c r="DO311" s="683"/>
    </row>
    <row r="312" spans="1:119" ht="25.5" customHeight="1" thickTop="1" thickBot="1" x14ac:dyDescent="0.25">
      <c r="A312" s="676">
        <f t="shared" si="31"/>
        <v>297</v>
      </c>
      <c r="B312" s="1054"/>
      <c r="C312" s="1055"/>
      <c r="D312" s="83"/>
      <c r="E312" s="954"/>
      <c r="F312" s="52"/>
      <c r="G312" s="103"/>
      <c r="H312" s="1058"/>
      <c r="I312" s="684" t="str">
        <f t="shared" si="28"/>
        <v/>
      </c>
      <c r="J312" s="685">
        <f t="shared" si="29"/>
        <v>0</v>
      </c>
      <c r="K312" s="1260"/>
      <c r="L312" s="1253"/>
      <c r="M312" s="1259"/>
      <c r="N312" s="719"/>
      <c r="O312" s="720"/>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2"/>
        <v>0</v>
      </c>
      <c r="AQ312" s="42"/>
      <c r="AR312" s="42"/>
      <c r="AS312" s="42"/>
      <c r="AT312" s="43"/>
      <c r="AU312" s="687">
        <f t="shared" si="33"/>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0"/>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4"/>
        <v>0</v>
      </c>
      <c r="DO312" s="683"/>
    </row>
    <row r="313" spans="1:119" ht="25.5" customHeight="1" thickTop="1" thickBot="1" x14ac:dyDescent="0.25">
      <c r="A313" s="676">
        <f t="shared" si="31"/>
        <v>298</v>
      </c>
      <c r="B313" s="1054"/>
      <c r="C313" s="1055"/>
      <c r="D313" s="83"/>
      <c r="E313" s="954"/>
      <c r="F313" s="52"/>
      <c r="G313" s="103"/>
      <c r="H313" s="1058"/>
      <c r="I313" s="684" t="str">
        <f t="shared" si="28"/>
        <v/>
      </c>
      <c r="J313" s="685">
        <f t="shared" si="29"/>
        <v>0</v>
      </c>
      <c r="K313" s="1260"/>
      <c r="L313" s="1253"/>
      <c r="M313" s="1259"/>
      <c r="N313" s="719"/>
      <c r="O313" s="720"/>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2"/>
        <v>0</v>
      </c>
      <c r="AQ313" s="42"/>
      <c r="AR313" s="42"/>
      <c r="AS313" s="42"/>
      <c r="AT313" s="43"/>
      <c r="AU313" s="687">
        <f t="shared" si="33"/>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0"/>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4"/>
        <v>0</v>
      </c>
      <c r="DO313" s="683"/>
    </row>
    <row r="314" spans="1:119" ht="25.5" customHeight="1" thickTop="1" thickBot="1" x14ac:dyDescent="0.25">
      <c r="A314" s="676">
        <f t="shared" si="31"/>
        <v>299</v>
      </c>
      <c r="B314" s="1054"/>
      <c r="C314" s="1055"/>
      <c r="D314" s="83"/>
      <c r="E314" s="954"/>
      <c r="F314" s="52"/>
      <c r="G314" s="103"/>
      <c r="H314" s="1058"/>
      <c r="I314" s="684" t="str">
        <f t="shared" si="28"/>
        <v/>
      </c>
      <c r="J314" s="685">
        <f t="shared" si="29"/>
        <v>0</v>
      </c>
      <c r="K314" s="1260"/>
      <c r="L314" s="1253"/>
      <c r="M314" s="1259"/>
      <c r="N314" s="719"/>
      <c r="O314" s="720"/>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2"/>
        <v>0</v>
      </c>
      <c r="AQ314" s="42"/>
      <c r="AR314" s="42"/>
      <c r="AS314" s="42"/>
      <c r="AT314" s="43"/>
      <c r="AU314" s="687">
        <f t="shared" si="33"/>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0"/>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4"/>
        <v>0</v>
      </c>
      <c r="DO314" s="683"/>
    </row>
    <row r="315" spans="1:119" ht="25.5" customHeight="1" thickTop="1" thickBot="1" x14ac:dyDescent="0.25">
      <c r="A315" s="676">
        <f t="shared" si="31"/>
        <v>300</v>
      </c>
      <c r="B315" s="1054"/>
      <c r="C315" s="1055"/>
      <c r="D315" s="83"/>
      <c r="E315" s="954"/>
      <c r="F315" s="52"/>
      <c r="G315" s="103"/>
      <c r="H315" s="1058"/>
      <c r="I315" s="684" t="str">
        <f t="shared" si="28"/>
        <v/>
      </c>
      <c r="J315" s="685">
        <f t="shared" si="29"/>
        <v>0</v>
      </c>
      <c r="K315" s="1260"/>
      <c r="L315" s="1253"/>
      <c r="M315" s="1259"/>
      <c r="N315" s="719"/>
      <c r="O315" s="720"/>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2"/>
        <v>0</v>
      </c>
      <c r="AQ315" s="42"/>
      <c r="AR315" s="42"/>
      <c r="AS315" s="42"/>
      <c r="AT315" s="43"/>
      <c r="AU315" s="687">
        <f t="shared" si="33"/>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0"/>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4"/>
        <v>0</v>
      </c>
      <c r="DO315" s="683"/>
    </row>
    <row r="316" spans="1:119" ht="25.5" customHeight="1" thickTop="1" thickBot="1" x14ac:dyDescent="0.25">
      <c r="A316" s="676">
        <f t="shared" si="31"/>
        <v>301</v>
      </c>
      <c r="B316" s="1054"/>
      <c r="C316" s="1055"/>
      <c r="D316" s="83"/>
      <c r="E316" s="954"/>
      <c r="F316" s="52"/>
      <c r="G316" s="103"/>
      <c r="H316" s="1058"/>
      <c r="I316" s="684" t="str">
        <f t="shared" si="28"/>
        <v/>
      </c>
      <c r="J316" s="685">
        <f t="shared" si="29"/>
        <v>0</v>
      </c>
      <c r="K316" s="1260"/>
      <c r="L316" s="1253"/>
      <c r="M316" s="1259"/>
      <c r="N316" s="719"/>
      <c r="O316" s="720"/>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2"/>
        <v>0</v>
      </c>
      <c r="AQ316" s="42"/>
      <c r="AR316" s="42"/>
      <c r="AS316" s="42"/>
      <c r="AT316" s="43"/>
      <c r="AU316" s="687">
        <f t="shared" si="33"/>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0"/>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4"/>
        <v>0</v>
      </c>
      <c r="DO316" s="683"/>
    </row>
    <row r="317" spans="1:119" ht="25.5" customHeight="1" thickTop="1" thickBot="1" x14ac:dyDescent="0.25">
      <c r="A317" s="676">
        <f t="shared" si="31"/>
        <v>302</v>
      </c>
      <c r="B317" s="1054"/>
      <c r="C317" s="1055"/>
      <c r="D317" s="83"/>
      <c r="E317" s="954"/>
      <c r="F317" s="52"/>
      <c r="G317" s="103"/>
      <c r="H317" s="1058"/>
      <c r="I317" s="684" t="str">
        <f t="shared" si="28"/>
        <v/>
      </c>
      <c r="J317" s="685">
        <f t="shared" si="29"/>
        <v>0</v>
      </c>
      <c r="K317" s="1260"/>
      <c r="L317" s="1253"/>
      <c r="M317" s="1259"/>
      <c r="N317" s="719"/>
      <c r="O317" s="720"/>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2"/>
        <v>0</v>
      </c>
      <c r="AQ317" s="42"/>
      <c r="AR317" s="42"/>
      <c r="AS317" s="42"/>
      <c r="AT317" s="43"/>
      <c r="AU317" s="687">
        <f t="shared" si="33"/>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0"/>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4"/>
        <v>0</v>
      </c>
      <c r="DO317" s="683"/>
    </row>
    <row r="318" spans="1:119" ht="25.5" customHeight="1" thickTop="1" thickBot="1" x14ac:dyDescent="0.25">
      <c r="A318" s="676">
        <f t="shared" si="31"/>
        <v>303</v>
      </c>
      <c r="B318" s="1054"/>
      <c r="C318" s="1055"/>
      <c r="D318" s="83"/>
      <c r="E318" s="954"/>
      <c r="F318" s="52"/>
      <c r="G318" s="103"/>
      <c r="H318" s="1058"/>
      <c r="I318" s="684" t="str">
        <f t="shared" si="28"/>
        <v/>
      </c>
      <c r="J318" s="685">
        <f t="shared" si="29"/>
        <v>0</v>
      </c>
      <c r="K318" s="1260"/>
      <c r="L318" s="1253"/>
      <c r="M318" s="1259"/>
      <c r="N318" s="719"/>
      <c r="O318" s="720"/>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2"/>
        <v>0</v>
      </c>
      <c r="AQ318" s="42"/>
      <c r="AR318" s="42"/>
      <c r="AS318" s="42"/>
      <c r="AT318" s="43"/>
      <c r="AU318" s="687">
        <f t="shared" si="33"/>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0"/>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4"/>
        <v>0</v>
      </c>
      <c r="DO318" s="683"/>
    </row>
    <row r="319" spans="1:119" ht="25.5" customHeight="1" thickTop="1" thickBot="1" x14ac:dyDescent="0.25">
      <c r="A319" s="676">
        <f t="shared" si="31"/>
        <v>304</v>
      </c>
      <c r="B319" s="1054"/>
      <c r="C319" s="1055"/>
      <c r="D319" s="83"/>
      <c r="E319" s="954"/>
      <c r="F319" s="52"/>
      <c r="G319" s="103"/>
      <c r="H319" s="1058"/>
      <c r="I319" s="684" t="str">
        <f t="shared" si="28"/>
        <v/>
      </c>
      <c r="J319" s="685">
        <f t="shared" si="29"/>
        <v>0</v>
      </c>
      <c r="K319" s="1260"/>
      <c r="L319" s="1253"/>
      <c r="M319" s="1259"/>
      <c r="N319" s="719"/>
      <c r="O319" s="720"/>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2"/>
        <v>0</v>
      </c>
      <c r="AQ319" s="42"/>
      <c r="AR319" s="42"/>
      <c r="AS319" s="42"/>
      <c r="AT319" s="43"/>
      <c r="AU319" s="687">
        <f t="shared" si="33"/>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0"/>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4"/>
        <v>0</v>
      </c>
      <c r="DO319" s="683"/>
    </row>
    <row r="320" spans="1:119" ht="25.5" customHeight="1" thickTop="1" thickBot="1" x14ac:dyDescent="0.25">
      <c r="A320" s="676">
        <f t="shared" si="31"/>
        <v>305</v>
      </c>
      <c r="B320" s="1054"/>
      <c r="C320" s="1055"/>
      <c r="D320" s="83"/>
      <c r="E320" s="954"/>
      <c r="F320" s="52"/>
      <c r="G320" s="103"/>
      <c r="H320" s="1058"/>
      <c r="I320" s="684" t="str">
        <f t="shared" si="28"/>
        <v/>
      </c>
      <c r="J320" s="685">
        <f t="shared" si="29"/>
        <v>0</v>
      </c>
      <c r="K320" s="1260"/>
      <c r="L320" s="1253"/>
      <c r="M320" s="1259"/>
      <c r="N320" s="719"/>
      <c r="O320" s="720"/>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2"/>
        <v>0</v>
      </c>
      <c r="AQ320" s="42"/>
      <c r="AR320" s="42"/>
      <c r="AS320" s="42"/>
      <c r="AT320" s="43"/>
      <c r="AU320" s="687">
        <f t="shared" si="33"/>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0"/>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4"/>
        <v>0</v>
      </c>
      <c r="DO320" s="683"/>
    </row>
    <row r="321" spans="1:119" ht="25.5" customHeight="1" thickTop="1" thickBot="1" x14ac:dyDescent="0.25">
      <c r="A321" s="676">
        <f t="shared" si="31"/>
        <v>306</v>
      </c>
      <c r="B321" s="1054"/>
      <c r="C321" s="1055"/>
      <c r="D321" s="83"/>
      <c r="E321" s="954"/>
      <c r="F321" s="52"/>
      <c r="G321" s="103"/>
      <c r="H321" s="1058"/>
      <c r="I321" s="684" t="str">
        <f t="shared" si="28"/>
        <v/>
      </c>
      <c r="J321" s="685">
        <f t="shared" si="29"/>
        <v>0</v>
      </c>
      <c r="K321" s="1260"/>
      <c r="L321" s="1253"/>
      <c r="M321" s="1259"/>
      <c r="N321" s="719"/>
      <c r="O321" s="720"/>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2"/>
        <v>0</v>
      </c>
      <c r="AQ321" s="42"/>
      <c r="AR321" s="42"/>
      <c r="AS321" s="42"/>
      <c r="AT321" s="43"/>
      <c r="AU321" s="687">
        <f t="shared" si="33"/>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0"/>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4"/>
        <v>0</v>
      </c>
      <c r="DO321" s="683"/>
    </row>
    <row r="322" spans="1:119" ht="25.5" customHeight="1" thickTop="1" thickBot="1" x14ac:dyDescent="0.25">
      <c r="A322" s="676">
        <f t="shared" si="31"/>
        <v>307</v>
      </c>
      <c r="B322" s="1054"/>
      <c r="C322" s="1055"/>
      <c r="D322" s="83"/>
      <c r="E322" s="954"/>
      <c r="F322" s="52"/>
      <c r="G322" s="103"/>
      <c r="H322" s="1058"/>
      <c r="I322" s="684" t="str">
        <f t="shared" si="28"/>
        <v/>
      </c>
      <c r="J322" s="685">
        <f t="shared" si="29"/>
        <v>0</v>
      </c>
      <c r="K322" s="1260"/>
      <c r="L322" s="1253"/>
      <c r="M322" s="1259"/>
      <c r="N322" s="719"/>
      <c r="O322" s="720"/>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2"/>
        <v>0</v>
      </c>
      <c r="AQ322" s="42"/>
      <c r="AR322" s="42"/>
      <c r="AS322" s="42"/>
      <c r="AT322" s="43"/>
      <c r="AU322" s="687">
        <f t="shared" si="33"/>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0"/>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4"/>
        <v>0</v>
      </c>
      <c r="DO322" s="683"/>
    </row>
    <row r="323" spans="1:119" ht="25.5" customHeight="1" thickTop="1" thickBot="1" x14ac:dyDescent="0.25">
      <c r="A323" s="676">
        <f t="shared" si="31"/>
        <v>308</v>
      </c>
      <c r="B323" s="1054"/>
      <c r="C323" s="1055"/>
      <c r="D323" s="83"/>
      <c r="E323" s="954"/>
      <c r="F323" s="52"/>
      <c r="G323" s="103"/>
      <c r="H323" s="1058"/>
      <c r="I323" s="684" t="str">
        <f t="shared" si="28"/>
        <v/>
      </c>
      <c r="J323" s="685">
        <f t="shared" si="29"/>
        <v>0</v>
      </c>
      <c r="K323" s="1260"/>
      <c r="L323" s="1253"/>
      <c r="M323" s="1259"/>
      <c r="N323" s="719"/>
      <c r="O323" s="720"/>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2"/>
        <v>0</v>
      </c>
      <c r="AQ323" s="42"/>
      <c r="AR323" s="42"/>
      <c r="AS323" s="42"/>
      <c r="AT323" s="43"/>
      <c r="AU323" s="687">
        <f t="shared" si="33"/>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0"/>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4"/>
        <v>0</v>
      </c>
      <c r="DO323" s="683"/>
    </row>
    <row r="324" spans="1:119" ht="25.5" customHeight="1" thickTop="1" thickBot="1" x14ac:dyDescent="0.25">
      <c r="A324" s="676">
        <f t="shared" si="31"/>
        <v>309</v>
      </c>
      <c r="B324" s="1054"/>
      <c r="C324" s="1055"/>
      <c r="D324" s="83"/>
      <c r="E324" s="954"/>
      <c r="F324" s="52"/>
      <c r="G324" s="103"/>
      <c r="H324" s="1058"/>
      <c r="I324" s="684" t="str">
        <f t="shared" si="28"/>
        <v/>
      </c>
      <c r="J324" s="685">
        <f t="shared" si="29"/>
        <v>0</v>
      </c>
      <c r="K324" s="1260"/>
      <c r="L324" s="1253"/>
      <c r="M324" s="1259"/>
      <c r="N324" s="719"/>
      <c r="O324" s="720"/>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2"/>
        <v>0</v>
      </c>
      <c r="AQ324" s="42"/>
      <c r="AR324" s="42"/>
      <c r="AS324" s="42"/>
      <c r="AT324" s="43"/>
      <c r="AU324" s="687">
        <f t="shared" si="33"/>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0"/>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4"/>
        <v>0</v>
      </c>
      <c r="DO324" s="683"/>
    </row>
    <row r="325" spans="1:119" ht="25.5" customHeight="1" thickTop="1" thickBot="1" x14ac:dyDescent="0.25">
      <c r="A325" s="676">
        <f t="shared" si="31"/>
        <v>310</v>
      </c>
      <c r="B325" s="1054"/>
      <c r="C325" s="1055"/>
      <c r="D325" s="83"/>
      <c r="E325" s="954"/>
      <c r="F325" s="52"/>
      <c r="G325" s="103"/>
      <c r="H325" s="1058"/>
      <c r="I325" s="684" t="str">
        <f t="shared" si="28"/>
        <v/>
      </c>
      <c r="J325" s="685">
        <f t="shared" si="29"/>
        <v>0</v>
      </c>
      <c r="K325" s="1260"/>
      <c r="L325" s="1253"/>
      <c r="M325" s="1259"/>
      <c r="N325" s="719"/>
      <c r="O325" s="720"/>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2"/>
        <v>0</v>
      </c>
      <c r="AQ325" s="42"/>
      <c r="AR325" s="42"/>
      <c r="AS325" s="42"/>
      <c r="AT325" s="43"/>
      <c r="AU325" s="687">
        <f t="shared" si="33"/>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0"/>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4"/>
        <v>0</v>
      </c>
      <c r="DO325" s="683"/>
    </row>
    <row r="326" spans="1:119" ht="25.5" customHeight="1" thickTop="1" thickBot="1" x14ac:dyDescent="0.25">
      <c r="A326" s="676">
        <f t="shared" si="31"/>
        <v>311</v>
      </c>
      <c r="B326" s="1054"/>
      <c r="C326" s="1055"/>
      <c r="D326" s="83"/>
      <c r="E326" s="954"/>
      <c r="F326" s="52"/>
      <c r="G326" s="103"/>
      <c r="H326" s="1058"/>
      <c r="I326" s="684" t="str">
        <f t="shared" si="28"/>
        <v/>
      </c>
      <c r="J326" s="685">
        <f t="shared" si="29"/>
        <v>0</v>
      </c>
      <c r="K326" s="1260"/>
      <c r="L326" s="1253"/>
      <c r="M326" s="1259"/>
      <c r="N326" s="719"/>
      <c r="O326" s="720"/>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2"/>
        <v>0</v>
      </c>
      <c r="AQ326" s="42"/>
      <c r="AR326" s="42"/>
      <c r="AS326" s="42"/>
      <c r="AT326" s="43"/>
      <c r="AU326" s="687">
        <f t="shared" si="33"/>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0"/>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4"/>
        <v>0</v>
      </c>
      <c r="DO326" s="683"/>
    </row>
    <row r="327" spans="1:119" ht="25.5" customHeight="1" thickTop="1" thickBot="1" x14ac:dyDescent="0.25">
      <c r="A327" s="676">
        <f t="shared" si="31"/>
        <v>312</v>
      </c>
      <c r="B327" s="1054"/>
      <c r="C327" s="1055"/>
      <c r="D327" s="83"/>
      <c r="E327" s="954"/>
      <c r="F327" s="52"/>
      <c r="G327" s="103"/>
      <c r="H327" s="1058"/>
      <c r="I327" s="684" t="str">
        <f t="shared" si="28"/>
        <v/>
      </c>
      <c r="J327" s="685">
        <f t="shared" si="29"/>
        <v>0</v>
      </c>
      <c r="K327" s="1260"/>
      <c r="L327" s="1253"/>
      <c r="M327" s="1259"/>
      <c r="N327" s="719"/>
      <c r="O327" s="720"/>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2"/>
        <v>0</v>
      </c>
      <c r="AQ327" s="42"/>
      <c r="AR327" s="42"/>
      <c r="AS327" s="42"/>
      <c r="AT327" s="43"/>
      <c r="AU327" s="687">
        <f t="shared" si="33"/>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0"/>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4"/>
        <v>0</v>
      </c>
      <c r="DO327" s="683"/>
    </row>
    <row r="328" spans="1:119" ht="25.5" customHeight="1" thickTop="1" thickBot="1" x14ac:dyDescent="0.25">
      <c r="A328" s="676">
        <f t="shared" si="31"/>
        <v>313</v>
      </c>
      <c r="B328" s="1054"/>
      <c r="C328" s="1055"/>
      <c r="D328" s="83"/>
      <c r="E328" s="954"/>
      <c r="F328" s="52"/>
      <c r="G328" s="103"/>
      <c r="H328" s="1058"/>
      <c r="I328" s="684" t="str">
        <f t="shared" si="28"/>
        <v/>
      </c>
      <c r="J328" s="685">
        <f t="shared" si="29"/>
        <v>0</v>
      </c>
      <c r="K328" s="1260"/>
      <c r="L328" s="1253"/>
      <c r="M328" s="1259"/>
      <c r="N328" s="719"/>
      <c r="O328" s="720"/>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2"/>
        <v>0</v>
      </c>
      <c r="AQ328" s="42"/>
      <c r="AR328" s="42"/>
      <c r="AS328" s="42"/>
      <c r="AT328" s="43"/>
      <c r="AU328" s="687">
        <f t="shared" si="33"/>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0"/>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4"/>
        <v>0</v>
      </c>
      <c r="DO328" s="683"/>
    </row>
    <row r="329" spans="1:119" ht="25.5" customHeight="1" thickTop="1" thickBot="1" x14ac:dyDescent="0.25">
      <c r="A329" s="676">
        <f t="shared" si="31"/>
        <v>314</v>
      </c>
      <c r="B329" s="1054"/>
      <c r="C329" s="1055"/>
      <c r="D329" s="83"/>
      <c r="E329" s="954"/>
      <c r="F329" s="52"/>
      <c r="G329" s="103"/>
      <c r="H329" s="1058"/>
      <c r="I329" s="684" t="str">
        <f t="shared" si="28"/>
        <v/>
      </c>
      <c r="J329" s="685">
        <f t="shared" si="29"/>
        <v>0</v>
      </c>
      <c r="K329" s="1260"/>
      <c r="L329" s="1253"/>
      <c r="M329" s="1259"/>
      <c r="N329" s="719"/>
      <c r="O329" s="720"/>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2"/>
        <v>0</v>
      </c>
      <c r="AQ329" s="42"/>
      <c r="AR329" s="42"/>
      <c r="AS329" s="42"/>
      <c r="AT329" s="43"/>
      <c r="AU329" s="687">
        <f t="shared" si="33"/>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0"/>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4"/>
        <v>0</v>
      </c>
      <c r="DO329" s="683"/>
    </row>
    <row r="330" spans="1:119" ht="25.5" customHeight="1" thickTop="1" thickBot="1" x14ac:dyDescent="0.25">
      <c r="A330" s="676">
        <f t="shared" si="31"/>
        <v>315</v>
      </c>
      <c r="B330" s="1054"/>
      <c r="C330" s="1055"/>
      <c r="D330" s="83"/>
      <c r="E330" s="954"/>
      <c r="F330" s="52"/>
      <c r="G330" s="103"/>
      <c r="H330" s="1058"/>
      <c r="I330" s="684" t="str">
        <f t="shared" si="28"/>
        <v/>
      </c>
      <c r="J330" s="685">
        <f t="shared" si="29"/>
        <v>0</v>
      </c>
      <c r="K330" s="1260"/>
      <c r="L330" s="1253"/>
      <c r="M330" s="1259"/>
      <c r="N330" s="719"/>
      <c r="O330" s="720"/>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2"/>
        <v>0</v>
      </c>
      <c r="AQ330" s="42"/>
      <c r="AR330" s="42"/>
      <c r="AS330" s="42"/>
      <c r="AT330" s="43"/>
      <c r="AU330" s="687">
        <f t="shared" si="33"/>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0"/>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4"/>
        <v>0</v>
      </c>
      <c r="DO330" s="683"/>
    </row>
    <row r="331" spans="1:119" ht="25.5" customHeight="1" thickTop="1" thickBot="1" x14ac:dyDescent="0.25">
      <c r="A331" s="676">
        <f t="shared" si="31"/>
        <v>316</v>
      </c>
      <c r="B331" s="1054"/>
      <c r="C331" s="1055"/>
      <c r="D331" s="83"/>
      <c r="E331" s="954"/>
      <c r="F331" s="52"/>
      <c r="G331" s="103"/>
      <c r="H331" s="1058"/>
      <c r="I331" s="684" t="str">
        <f t="shared" si="28"/>
        <v/>
      </c>
      <c r="J331" s="685">
        <f t="shared" si="29"/>
        <v>0</v>
      </c>
      <c r="K331" s="1260"/>
      <c r="L331" s="1253"/>
      <c r="M331" s="1259"/>
      <c r="N331" s="719"/>
      <c r="O331" s="720"/>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2"/>
        <v>0</v>
      </c>
      <c r="AQ331" s="42"/>
      <c r="AR331" s="42"/>
      <c r="AS331" s="42"/>
      <c r="AT331" s="43"/>
      <c r="AU331" s="687">
        <f t="shared" si="33"/>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0"/>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4"/>
        <v>0</v>
      </c>
      <c r="DO331" s="683"/>
    </row>
    <row r="332" spans="1:119" ht="25.5" customHeight="1" thickTop="1" thickBot="1" x14ac:dyDescent="0.25">
      <c r="A332" s="676">
        <f t="shared" si="31"/>
        <v>317</v>
      </c>
      <c r="B332" s="1054"/>
      <c r="C332" s="1055"/>
      <c r="D332" s="83"/>
      <c r="E332" s="954"/>
      <c r="F332" s="52"/>
      <c r="G332" s="103"/>
      <c r="H332" s="1058"/>
      <c r="I332" s="684" t="str">
        <f t="shared" si="28"/>
        <v/>
      </c>
      <c r="J332" s="685">
        <f t="shared" si="29"/>
        <v>0</v>
      </c>
      <c r="K332" s="1260"/>
      <c r="L332" s="1253"/>
      <c r="M332" s="1259"/>
      <c r="N332" s="719"/>
      <c r="O332" s="720"/>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2"/>
        <v>0</v>
      </c>
      <c r="AQ332" s="42"/>
      <c r="AR332" s="42"/>
      <c r="AS332" s="42"/>
      <c r="AT332" s="43"/>
      <c r="AU332" s="687">
        <f t="shared" si="33"/>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0"/>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4"/>
        <v>0</v>
      </c>
      <c r="DO332" s="683"/>
    </row>
    <row r="333" spans="1:119" ht="25.5" customHeight="1" thickTop="1" thickBot="1" x14ac:dyDescent="0.25">
      <c r="A333" s="676">
        <f t="shared" si="31"/>
        <v>318</v>
      </c>
      <c r="B333" s="1054"/>
      <c r="C333" s="1055"/>
      <c r="D333" s="83"/>
      <c r="E333" s="954"/>
      <c r="F333" s="52"/>
      <c r="G333" s="103"/>
      <c r="H333" s="1058"/>
      <c r="I333" s="684" t="str">
        <f t="shared" si="28"/>
        <v/>
      </c>
      <c r="J333" s="685">
        <f t="shared" si="29"/>
        <v>0</v>
      </c>
      <c r="K333" s="1260"/>
      <c r="L333" s="1253"/>
      <c r="M333" s="1259"/>
      <c r="N333" s="719"/>
      <c r="O333" s="720"/>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2"/>
        <v>0</v>
      </c>
      <c r="AQ333" s="42"/>
      <c r="AR333" s="42"/>
      <c r="AS333" s="42"/>
      <c r="AT333" s="43"/>
      <c r="AU333" s="687">
        <f t="shared" si="33"/>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0"/>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4"/>
        <v>0</v>
      </c>
      <c r="DO333" s="683"/>
    </row>
    <row r="334" spans="1:119" ht="25.5" customHeight="1" thickTop="1" thickBot="1" x14ac:dyDescent="0.25">
      <c r="A334" s="676">
        <f t="shared" si="31"/>
        <v>319</v>
      </c>
      <c r="B334" s="1054"/>
      <c r="C334" s="1055"/>
      <c r="D334" s="83"/>
      <c r="E334" s="954"/>
      <c r="F334" s="52"/>
      <c r="G334" s="103"/>
      <c r="H334" s="1058"/>
      <c r="I334" s="684" t="str">
        <f t="shared" si="28"/>
        <v/>
      </c>
      <c r="J334" s="685">
        <f t="shared" si="29"/>
        <v>0</v>
      </c>
      <c r="K334" s="1260"/>
      <c r="L334" s="1253"/>
      <c r="M334" s="1259"/>
      <c r="N334" s="719"/>
      <c r="O334" s="720"/>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2"/>
        <v>0</v>
      </c>
      <c r="AQ334" s="42"/>
      <c r="AR334" s="42"/>
      <c r="AS334" s="42"/>
      <c r="AT334" s="43"/>
      <c r="AU334" s="687">
        <f t="shared" si="33"/>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0"/>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4"/>
        <v>0</v>
      </c>
      <c r="DO334" s="683"/>
    </row>
    <row r="335" spans="1:119" ht="25.5" customHeight="1" thickTop="1" thickBot="1" x14ac:dyDescent="0.25">
      <c r="A335" s="676">
        <f t="shared" si="31"/>
        <v>320</v>
      </c>
      <c r="B335" s="1054"/>
      <c r="C335" s="1055"/>
      <c r="D335" s="83"/>
      <c r="E335" s="954"/>
      <c r="F335" s="52"/>
      <c r="G335" s="103"/>
      <c r="H335" s="1058"/>
      <c r="I335" s="684" t="str">
        <f t="shared" si="28"/>
        <v/>
      </c>
      <c r="J335" s="685">
        <f t="shared" si="29"/>
        <v>0</v>
      </c>
      <c r="K335" s="1260"/>
      <c r="L335" s="1253"/>
      <c r="M335" s="1259"/>
      <c r="N335" s="719"/>
      <c r="O335" s="720"/>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2"/>
        <v>0</v>
      </c>
      <c r="AQ335" s="42"/>
      <c r="AR335" s="42"/>
      <c r="AS335" s="42"/>
      <c r="AT335" s="43"/>
      <c r="AU335" s="687">
        <f t="shared" si="33"/>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0"/>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4"/>
        <v>0</v>
      </c>
      <c r="DO335" s="683"/>
    </row>
    <row r="336" spans="1:119" ht="25.5" customHeight="1" thickTop="1" thickBot="1" x14ac:dyDescent="0.25">
      <c r="A336" s="676">
        <f t="shared" si="31"/>
        <v>321</v>
      </c>
      <c r="B336" s="1054"/>
      <c r="C336" s="1055"/>
      <c r="D336" s="83"/>
      <c r="E336" s="954"/>
      <c r="F336" s="52"/>
      <c r="G336" s="103"/>
      <c r="H336" s="1058"/>
      <c r="I336" s="684" t="str">
        <f t="shared" ref="I336:I399" si="35">LEFT(H336,4)</f>
        <v/>
      </c>
      <c r="J336" s="685">
        <f t="shared" ref="J336:J399" si="36">G336-DN336</f>
        <v>0</v>
      </c>
      <c r="K336" s="1260"/>
      <c r="L336" s="1253"/>
      <c r="M336" s="1259"/>
      <c r="N336" s="719"/>
      <c r="O336" s="720"/>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2"/>
        <v>0</v>
      </c>
      <c r="AQ336" s="42"/>
      <c r="AR336" s="42"/>
      <c r="AS336" s="42"/>
      <c r="AT336" s="43"/>
      <c r="AU336" s="687">
        <f t="shared" si="33"/>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37">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4"/>
        <v>0</v>
      </c>
      <c r="DO336" s="683"/>
    </row>
    <row r="337" spans="1:119" ht="25.5" customHeight="1" thickTop="1" thickBot="1" x14ac:dyDescent="0.25">
      <c r="A337" s="676">
        <f t="shared" ref="A337:A400" si="38">$A336+1</f>
        <v>322</v>
      </c>
      <c r="B337" s="1054"/>
      <c r="C337" s="1055"/>
      <c r="D337" s="83"/>
      <c r="E337" s="954"/>
      <c r="F337" s="52"/>
      <c r="G337" s="103"/>
      <c r="H337" s="1058"/>
      <c r="I337" s="684" t="str">
        <f t="shared" si="35"/>
        <v/>
      </c>
      <c r="J337" s="685">
        <f t="shared" si="36"/>
        <v>0</v>
      </c>
      <c r="K337" s="1260"/>
      <c r="L337" s="1253"/>
      <c r="M337" s="1259"/>
      <c r="N337" s="719"/>
      <c r="O337" s="720"/>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39">SUM(AQ337:AT337)</f>
        <v>0</v>
      </c>
      <c r="AQ337" s="42"/>
      <c r="AR337" s="42"/>
      <c r="AS337" s="42"/>
      <c r="AT337" s="43"/>
      <c r="AU337" s="687">
        <f t="shared" ref="AU337:AU400" si="40">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37"/>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1">SUM(P337:AP337,AU337,AZ337:BW337,CE337:DM337)</f>
        <v>0</v>
      </c>
      <c r="DO337" s="683"/>
    </row>
    <row r="338" spans="1:119" ht="25.5" customHeight="1" thickTop="1" thickBot="1" x14ac:dyDescent="0.25">
      <c r="A338" s="676">
        <f t="shared" si="38"/>
        <v>323</v>
      </c>
      <c r="B338" s="1054"/>
      <c r="C338" s="1055"/>
      <c r="D338" s="83"/>
      <c r="E338" s="954"/>
      <c r="F338" s="52"/>
      <c r="G338" s="103"/>
      <c r="H338" s="1058"/>
      <c r="I338" s="684" t="str">
        <f t="shared" si="35"/>
        <v/>
      </c>
      <c r="J338" s="685">
        <f t="shared" si="36"/>
        <v>0</v>
      </c>
      <c r="K338" s="1260"/>
      <c r="L338" s="1253"/>
      <c r="M338" s="1259"/>
      <c r="N338" s="719"/>
      <c r="O338" s="720"/>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39"/>
        <v>0</v>
      </c>
      <c r="AQ338" s="42"/>
      <c r="AR338" s="42"/>
      <c r="AS338" s="42"/>
      <c r="AT338" s="43"/>
      <c r="AU338" s="687">
        <f t="shared" si="40"/>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37"/>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1"/>
        <v>0</v>
      </c>
      <c r="DO338" s="683"/>
    </row>
    <row r="339" spans="1:119" ht="25.5" customHeight="1" thickTop="1" thickBot="1" x14ac:dyDescent="0.25">
      <c r="A339" s="676">
        <f t="shared" si="38"/>
        <v>324</v>
      </c>
      <c r="B339" s="1054"/>
      <c r="C339" s="1055"/>
      <c r="D339" s="83"/>
      <c r="E339" s="954"/>
      <c r="F339" s="52"/>
      <c r="G339" s="103"/>
      <c r="H339" s="1058"/>
      <c r="I339" s="684" t="str">
        <f t="shared" si="35"/>
        <v/>
      </c>
      <c r="J339" s="685">
        <f t="shared" si="36"/>
        <v>0</v>
      </c>
      <c r="K339" s="1260"/>
      <c r="L339" s="1253"/>
      <c r="M339" s="1259"/>
      <c r="N339" s="719"/>
      <c r="O339" s="720"/>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39"/>
        <v>0</v>
      </c>
      <c r="AQ339" s="42"/>
      <c r="AR339" s="42"/>
      <c r="AS339" s="42"/>
      <c r="AT339" s="43"/>
      <c r="AU339" s="687">
        <f t="shared" si="40"/>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37"/>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1"/>
        <v>0</v>
      </c>
      <c r="DO339" s="683"/>
    </row>
    <row r="340" spans="1:119" ht="25.5" customHeight="1" thickTop="1" thickBot="1" x14ac:dyDescent="0.25">
      <c r="A340" s="676">
        <f t="shared" si="38"/>
        <v>325</v>
      </c>
      <c r="B340" s="1054"/>
      <c r="C340" s="1055"/>
      <c r="D340" s="83"/>
      <c r="E340" s="954"/>
      <c r="F340" s="52"/>
      <c r="G340" s="103"/>
      <c r="H340" s="1058"/>
      <c r="I340" s="684" t="str">
        <f t="shared" si="35"/>
        <v/>
      </c>
      <c r="J340" s="685">
        <f t="shared" si="36"/>
        <v>0</v>
      </c>
      <c r="K340" s="1260"/>
      <c r="L340" s="1253"/>
      <c r="M340" s="1259"/>
      <c r="N340" s="719"/>
      <c r="O340" s="720"/>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39"/>
        <v>0</v>
      </c>
      <c r="AQ340" s="42"/>
      <c r="AR340" s="42"/>
      <c r="AS340" s="42"/>
      <c r="AT340" s="43"/>
      <c r="AU340" s="687">
        <f t="shared" si="40"/>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37"/>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1"/>
        <v>0</v>
      </c>
      <c r="DO340" s="683"/>
    </row>
    <row r="341" spans="1:119" ht="25.5" customHeight="1" thickTop="1" thickBot="1" x14ac:dyDescent="0.25">
      <c r="A341" s="676">
        <f t="shared" si="38"/>
        <v>326</v>
      </c>
      <c r="B341" s="1054"/>
      <c r="C341" s="1055"/>
      <c r="D341" s="83"/>
      <c r="E341" s="954"/>
      <c r="F341" s="52"/>
      <c r="G341" s="103"/>
      <c r="H341" s="1058"/>
      <c r="I341" s="684" t="str">
        <f t="shared" si="35"/>
        <v/>
      </c>
      <c r="J341" s="685">
        <f t="shared" si="36"/>
        <v>0</v>
      </c>
      <c r="K341" s="1260"/>
      <c r="L341" s="1253"/>
      <c r="M341" s="1259"/>
      <c r="N341" s="719"/>
      <c r="O341" s="720"/>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39"/>
        <v>0</v>
      </c>
      <c r="AQ341" s="42"/>
      <c r="AR341" s="42"/>
      <c r="AS341" s="42"/>
      <c r="AT341" s="43"/>
      <c r="AU341" s="687">
        <f t="shared" si="40"/>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37"/>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1"/>
        <v>0</v>
      </c>
      <c r="DO341" s="683"/>
    </row>
    <row r="342" spans="1:119" ht="25.5" customHeight="1" thickTop="1" thickBot="1" x14ac:dyDescent="0.25">
      <c r="A342" s="676">
        <f t="shared" si="38"/>
        <v>327</v>
      </c>
      <c r="B342" s="1054"/>
      <c r="C342" s="1055"/>
      <c r="D342" s="83"/>
      <c r="E342" s="954"/>
      <c r="F342" s="52"/>
      <c r="G342" s="103"/>
      <c r="H342" s="1058"/>
      <c r="I342" s="684" t="str">
        <f t="shared" si="35"/>
        <v/>
      </c>
      <c r="J342" s="685">
        <f t="shared" si="36"/>
        <v>0</v>
      </c>
      <c r="K342" s="1260"/>
      <c r="L342" s="1253"/>
      <c r="M342" s="1259"/>
      <c r="N342" s="719"/>
      <c r="O342" s="720"/>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39"/>
        <v>0</v>
      </c>
      <c r="AQ342" s="42"/>
      <c r="AR342" s="42"/>
      <c r="AS342" s="42"/>
      <c r="AT342" s="43"/>
      <c r="AU342" s="687">
        <f t="shared" si="40"/>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37"/>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1"/>
        <v>0</v>
      </c>
      <c r="DO342" s="683"/>
    </row>
    <row r="343" spans="1:119" ht="25.5" customHeight="1" thickTop="1" thickBot="1" x14ac:dyDescent="0.25">
      <c r="A343" s="676">
        <f t="shared" si="38"/>
        <v>328</v>
      </c>
      <c r="B343" s="1054"/>
      <c r="C343" s="1055"/>
      <c r="D343" s="83"/>
      <c r="E343" s="954"/>
      <c r="F343" s="52"/>
      <c r="G343" s="103"/>
      <c r="H343" s="1058"/>
      <c r="I343" s="684" t="str">
        <f t="shared" si="35"/>
        <v/>
      </c>
      <c r="J343" s="685">
        <f t="shared" si="36"/>
        <v>0</v>
      </c>
      <c r="K343" s="1260"/>
      <c r="L343" s="1253"/>
      <c r="M343" s="1259"/>
      <c r="N343" s="719"/>
      <c r="O343" s="720"/>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39"/>
        <v>0</v>
      </c>
      <c r="AQ343" s="42"/>
      <c r="AR343" s="42"/>
      <c r="AS343" s="42"/>
      <c r="AT343" s="43"/>
      <c r="AU343" s="687">
        <f t="shared" si="40"/>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37"/>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1"/>
        <v>0</v>
      </c>
      <c r="DO343" s="683"/>
    </row>
    <row r="344" spans="1:119" ht="25.5" customHeight="1" thickTop="1" thickBot="1" x14ac:dyDescent="0.25">
      <c r="A344" s="676">
        <f t="shared" si="38"/>
        <v>329</v>
      </c>
      <c r="B344" s="1054"/>
      <c r="C344" s="1055"/>
      <c r="D344" s="83"/>
      <c r="E344" s="954"/>
      <c r="F344" s="52"/>
      <c r="G344" s="103"/>
      <c r="H344" s="1058"/>
      <c r="I344" s="684" t="str">
        <f t="shared" si="35"/>
        <v/>
      </c>
      <c r="J344" s="685">
        <f t="shared" si="36"/>
        <v>0</v>
      </c>
      <c r="K344" s="1260"/>
      <c r="L344" s="1253"/>
      <c r="M344" s="1259"/>
      <c r="N344" s="719"/>
      <c r="O344" s="720"/>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39"/>
        <v>0</v>
      </c>
      <c r="AQ344" s="42"/>
      <c r="AR344" s="42"/>
      <c r="AS344" s="42"/>
      <c r="AT344" s="43"/>
      <c r="AU344" s="687">
        <f t="shared" si="40"/>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37"/>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1"/>
        <v>0</v>
      </c>
      <c r="DO344" s="683"/>
    </row>
    <row r="345" spans="1:119" ht="25.5" customHeight="1" thickTop="1" thickBot="1" x14ac:dyDescent="0.25">
      <c r="A345" s="676">
        <f t="shared" si="38"/>
        <v>330</v>
      </c>
      <c r="B345" s="1054"/>
      <c r="C345" s="1055"/>
      <c r="D345" s="83"/>
      <c r="E345" s="954"/>
      <c r="F345" s="52"/>
      <c r="G345" s="103"/>
      <c r="H345" s="1058"/>
      <c r="I345" s="684" t="str">
        <f t="shared" si="35"/>
        <v/>
      </c>
      <c r="J345" s="685">
        <f t="shared" si="36"/>
        <v>0</v>
      </c>
      <c r="K345" s="1260"/>
      <c r="L345" s="1253"/>
      <c r="M345" s="1259"/>
      <c r="N345" s="719"/>
      <c r="O345" s="720"/>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39"/>
        <v>0</v>
      </c>
      <c r="AQ345" s="42"/>
      <c r="AR345" s="42"/>
      <c r="AS345" s="42"/>
      <c r="AT345" s="43"/>
      <c r="AU345" s="687">
        <f t="shared" si="40"/>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37"/>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1"/>
        <v>0</v>
      </c>
      <c r="DO345" s="683"/>
    </row>
    <row r="346" spans="1:119" ht="25.5" customHeight="1" thickTop="1" thickBot="1" x14ac:dyDescent="0.25">
      <c r="A346" s="676">
        <f t="shared" si="38"/>
        <v>331</v>
      </c>
      <c r="B346" s="1054"/>
      <c r="C346" s="1055"/>
      <c r="D346" s="83"/>
      <c r="E346" s="954"/>
      <c r="F346" s="52"/>
      <c r="G346" s="103"/>
      <c r="H346" s="1058"/>
      <c r="I346" s="684" t="str">
        <f t="shared" si="35"/>
        <v/>
      </c>
      <c r="J346" s="685">
        <f t="shared" si="36"/>
        <v>0</v>
      </c>
      <c r="K346" s="1260"/>
      <c r="L346" s="1253"/>
      <c r="M346" s="1259"/>
      <c r="N346" s="719"/>
      <c r="O346" s="720"/>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39"/>
        <v>0</v>
      </c>
      <c r="AQ346" s="42"/>
      <c r="AR346" s="42"/>
      <c r="AS346" s="42"/>
      <c r="AT346" s="43"/>
      <c r="AU346" s="687">
        <f t="shared" si="40"/>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37"/>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1"/>
        <v>0</v>
      </c>
      <c r="DO346" s="683"/>
    </row>
    <row r="347" spans="1:119" ht="25.5" customHeight="1" thickTop="1" thickBot="1" x14ac:dyDescent="0.25">
      <c r="A347" s="676">
        <f t="shared" si="38"/>
        <v>332</v>
      </c>
      <c r="B347" s="1054"/>
      <c r="C347" s="1055"/>
      <c r="D347" s="83"/>
      <c r="E347" s="954"/>
      <c r="F347" s="52"/>
      <c r="G347" s="103"/>
      <c r="H347" s="1058"/>
      <c r="I347" s="684" t="str">
        <f t="shared" si="35"/>
        <v/>
      </c>
      <c r="J347" s="685">
        <f t="shared" si="36"/>
        <v>0</v>
      </c>
      <c r="K347" s="1260"/>
      <c r="L347" s="1253"/>
      <c r="M347" s="1259"/>
      <c r="N347" s="719"/>
      <c r="O347" s="720"/>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39"/>
        <v>0</v>
      </c>
      <c r="AQ347" s="42"/>
      <c r="AR347" s="42"/>
      <c r="AS347" s="42"/>
      <c r="AT347" s="43"/>
      <c r="AU347" s="687">
        <f t="shared" si="40"/>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37"/>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1"/>
        <v>0</v>
      </c>
      <c r="DO347" s="683"/>
    </row>
    <row r="348" spans="1:119" ht="25.5" customHeight="1" thickTop="1" thickBot="1" x14ac:dyDescent="0.25">
      <c r="A348" s="676">
        <f t="shared" si="38"/>
        <v>333</v>
      </c>
      <c r="B348" s="1054"/>
      <c r="C348" s="1055"/>
      <c r="D348" s="83"/>
      <c r="E348" s="954"/>
      <c r="F348" s="52"/>
      <c r="G348" s="103"/>
      <c r="H348" s="1058"/>
      <c r="I348" s="684" t="str">
        <f t="shared" si="35"/>
        <v/>
      </c>
      <c r="J348" s="685">
        <f t="shared" si="36"/>
        <v>0</v>
      </c>
      <c r="K348" s="1260"/>
      <c r="L348" s="1253"/>
      <c r="M348" s="1259"/>
      <c r="N348" s="719"/>
      <c r="O348" s="720"/>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39"/>
        <v>0</v>
      </c>
      <c r="AQ348" s="42"/>
      <c r="AR348" s="42"/>
      <c r="AS348" s="42"/>
      <c r="AT348" s="43"/>
      <c r="AU348" s="687">
        <f t="shared" si="40"/>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37"/>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1"/>
        <v>0</v>
      </c>
      <c r="DO348" s="683"/>
    </row>
    <row r="349" spans="1:119" ht="25.5" customHeight="1" thickTop="1" thickBot="1" x14ac:dyDescent="0.25">
      <c r="A349" s="676">
        <f t="shared" si="38"/>
        <v>334</v>
      </c>
      <c r="B349" s="1054"/>
      <c r="C349" s="1055"/>
      <c r="D349" s="83"/>
      <c r="E349" s="954"/>
      <c r="F349" s="52"/>
      <c r="G349" s="103"/>
      <c r="H349" s="1058"/>
      <c r="I349" s="684" t="str">
        <f t="shared" si="35"/>
        <v/>
      </c>
      <c r="J349" s="685">
        <f t="shared" si="36"/>
        <v>0</v>
      </c>
      <c r="K349" s="1260"/>
      <c r="L349" s="1253"/>
      <c r="M349" s="1259"/>
      <c r="N349" s="719"/>
      <c r="O349" s="720"/>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39"/>
        <v>0</v>
      </c>
      <c r="AQ349" s="42"/>
      <c r="AR349" s="42"/>
      <c r="AS349" s="42"/>
      <c r="AT349" s="43"/>
      <c r="AU349" s="687">
        <f t="shared" si="40"/>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37"/>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1"/>
        <v>0</v>
      </c>
      <c r="DO349" s="683"/>
    </row>
    <row r="350" spans="1:119" ht="25.5" customHeight="1" thickTop="1" thickBot="1" x14ac:dyDescent="0.25">
      <c r="A350" s="676">
        <f t="shared" si="38"/>
        <v>335</v>
      </c>
      <c r="B350" s="1054"/>
      <c r="C350" s="1055"/>
      <c r="D350" s="83"/>
      <c r="E350" s="954"/>
      <c r="F350" s="52"/>
      <c r="G350" s="103"/>
      <c r="H350" s="1058"/>
      <c r="I350" s="684" t="str">
        <f t="shared" si="35"/>
        <v/>
      </c>
      <c r="J350" s="685">
        <f t="shared" si="36"/>
        <v>0</v>
      </c>
      <c r="K350" s="1260"/>
      <c r="L350" s="1253"/>
      <c r="M350" s="1259"/>
      <c r="N350" s="719"/>
      <c r="O350" s="720"/>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39"/>
        <v>0</v>
      </c>
      <c r="AQ350" s="42"/>
      <c r="AR350" s="42"/>
      <c r="AS350" s="42"/>
      <c r="AT350" s="43"/>
      <c r="AU350" s="687">
        <f t="shared" si="40"/>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37"/>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1"/>
        <v>0</v>
      </c>
      <c r="DO350" s="683"/>
    </row>
    <row r="351" spans="1:119" ht="25.5" customHeight="1" thickTop="1" thickBot="1" x14ac:dyDescent="0.25">
      <c r="A351" s="676">
        <f t="shared" si="38"/>
        <v>336</v>
      </c>
      <c r="B351" s="1054"/>
      <c r="C351" s="1055"/>
      <c r="D351" s="83"/>
      <c r="E351" s="954"/>
      <c r="F351" s="52"/>
      <c r="G351" s="103"/>
      <c r="H351" s="1058"/>
      <c r="I351" s="684" t="str">
        <f t="shared" si="35"/>
        <v/>
      </c>
      <c r="J351" s="685">
        <f t="shared" si="36"/>
        <v>0</v>
      </c>
      <c r="K351" s="1260"/>
      <c r="L351" s="1253"/>
      <c r="M351" s="1259"/>
      <c r="N351" s="719"/>
      <c r="O351" s="720"/>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39"/>
        <v>0</v>
      </c>
      <c r="AQ351" s="42"/>
      <c r="AR351" s="42"/>
      <c r="AS351" s="42"/>
      <c r="AT351" s="43"/>
      <c r="AU351" s="687">
        <f t="shared" si="40"/>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37"/>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1"/>
        <v>0</v>
      </c>
      <c r="DO351" s="683"/>
    </row>
    <row r="352" spans="1:119" ht="25.5" customHeight="1" thickTop="1" thickBot="1" x14ac:dyDescent="0.25">
      <c r="A352" s="676">
        <f t="shared" si="38"/>
        <v>337</v>
      </c>
      <c r="B352" s="1054"/>
      <c r="C352" s="1055"/>
      <c r="D352" s="83"/>
      <c r="E352" s="954"/>
      <c r="F352" s="52"/>
      <c r="G352" s="103"/>
      <c r="H352" s="1058"/>
      <c r="I352" s="684" t="str">
        <f t="shared" si="35"/>
        <v/>
      </c>
      <c r="J352" s="685">
        <f t="shared" si="36"/>
        <v>0</v>
      </c>
      <c r="K352" s="1260"/>
      <c r="L352" s="1253"/>
      <c r="M352" s="1259"/>
      <c r="N352" s="719"/>
      <c r="O352" s="720"/>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39"/>
        <v>0</v>
      </c>
      <c r="AQ352" s="42"/>
      <c r="AR352" s="42"/>
      <c r="AS352" s="42"/>
      <c r="AT352" s="43"/>
      <c r="AU352" s="687">
        <f t="shared" si="40"/>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37"/>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1"/>
        <v>0</v>
      </c>
      <c r="DO352" s="683"/>
    </row>
    <row r="353" spans="1:119" ht="25.5" customHeight="1" thickTop="1" thickBot="1" x14ac:dyDescent="0.25">
      <c r="A353" s="676">
        <f t="shared" si="38"/>
        <v>338</v>
      </c>
      <c r="B353" s="1054"/>
      <c r="C353" s="1055"/>
      <c r="D353" s="83"/>
      <c r="E353" s="954"/>
      <c r="F353" s="52"/>
      <c r="G353" s="103"/>
      <c r="H353" s="1058"/>
      <c r="I353" s="684" t="str">
        <f t="shared" si="35"/>
        <v/>
      </c>
      <c r="J353" s="685">
        <f t="shared" si="36"/>
        <v>0</v>
      </c>
      <c r="K353" s="1260"/>
      <c r="L353" s="1253"/>
      <c r="M353" s="1259"/>
      <c r="N353" s="719"/>
      <c r="O353" s="720"/>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39"/>
        <v>0</v>
      </c>
      <c r="AQ353" s="42"/>
      <c r="AR353" s="42"/>
      <c r="AS353" s="42"/>
      <c r="AT353" s="43"/>
      <c r="AU353" s="687">
        <f t="shared" si="40"/>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37"/>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1"/>
        <v>0</v>
      </c>
      <c r="DO353" s="683"/>
    </row>
    <row r="354" spans="1:119" ht="25.5" customHeight="1" thickTop="1" thickBot="1" x14ac:dyDescent="0.25">
      <c r="A354" s="676">
        <f t="shared" si="38"/>
        <v>339</v>
      </c>
      <c r="B354" s="1054"/>
      <c r="C354" s="1055"/>
      <c r="D354" s="83"/>
      <c r="E354" s="954"/>
      <c r="F354" s="52"/>
      <c r="G354" s="103"/>
      <c r="H354" s="1058"/>
      <c r="I354" s="684" t="str">
        <f t="shared" si="35"/>
        <v/>
      </c>
      <c r="J354" s="685">
        <f t="shared" si="36"/>
        <v>0</v>
      </c>
      <c r="K354" s="1260"/>
      <c r="L354" s="1253"/>
      <c r="M354" s="1259"/>
      <c r="N354" s="719"/>
      <c r="O354" s="720"/>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39"/>
        <v>0</v>
      </c>
      <c r="AQ354" s="42"/>
      <c r="AR354" s="42"/>
      <c r="AS354" s="42"/>
      <c r="AT354" s="43"/>
      <c r="AU354" s="687">
        <f t="shared" si="40"/>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37"/>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1"/>
        <v>0</v>
      </c>
      <c r="DO354" s="683"/>
    </row>
    <row r="355" spans="1:119" ht="25.5" customHeight="1" thickTop="1" thickBot="1" x14ac:dyDescent="0.25">
      <c r="A355" s="676">
        <f t="shared" si="38"/>
        <v>340</v>
      </c>
      <c r="B355" s="1054"/>
      <c r="C355" s="1055"/>
      <c r="D355" s="83"/>
      <c r="E355" s="954"/>
      <c r="F355" s="52"/>
      <c r="G355" s="103"/>
      <c r="H355" s="1058"/>
      <c r="I355" s="684" t="str">
        <f t="shared" si="35"/>
        <v/>
      </c>
      <c r="J355" s="685">
        <f t="shared" si="36"/>
        <v>0</v>
      </c>
      <c r="K355" s="1260"/>
      <c r="L355" s="1253"/>
      <c r="M355" s="1259"/>
      <c r="N355" s="719"/>
      <c r="O355" s="720"/>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39"/>
        <v>0</v>
      </c>
      <c r="AQ355" s="42"/>
      <c r="AR355" s="42"/>
      <c r="AS355" s="42"/>
      <c r="AT355" s="43"/>
      <c r="AU355" s="687">
        <f t="shared" si="40"/>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37"/>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1"/>
        <v>0</v>
      </c>
      <c r="DO355" s="683"/>
    </row>
    <row r="356" spans="1:119" ht="25.5" customHeight="1" thickTop="1" thickBot="1" x14ac:dyDescent="0.25">
      <c r="A356" s="676">
        <f t="shared" si="38"/>
        <v>341</v>
      </c>
      <c r="B356" s="1054"/>
      <c r="C356" s="1055"/>
      <c r="D356" s="83"/>
      <c r="E356" s="954"/>
      <c r="F356" s="52"/>
      <c r="G356" s="103"/>
      <c r="H356" s="1058"/>
      <c r="I356" s="684" t="str">
        <f t="shared" si="35"/>
        <v/>
      </c>
      <c r="J356" s="685">
        <f t="shared" si="36"/>
        <v>0</v>
      </c>
      <c r="K356" s="1260"/>
      <c r="L356" s="1253"/>
      <c r="M356" s="1259"/>
      <c r="N356" s="719"/>
      <c r="O356" s="720"/>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39"/>
        <v>0</v>
      </c>
      <c r="AQ356" s="42"/>
      <c r="AR356" s="42"/>
      <c r="AS356" s="42"/>
      <c r="AT356" s="43"/>
      <c r="AU356" s="687">
        <f t="shared" si="40"/>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37"/>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1"/>
        <v>0</v>
      </c>
      <c r="DO356" s="683"/>
    </row>
    <row r="357" spans="1:119" ht="25.5" customHeight="1" thickTop="1" thickBot="1" x14ac:dyDescent="0.25">
      <c r="A357" s="676">
        <f t="shared" si="38"/>
        <v>342</v>
      </c>
      <c r="B357" s="1054"/>
      <c r="C357" s="1055"/>
      <c r="D357" s="83"/>
      <c r="E357" s="954"/>
      <c r="F357" s="52"/>
      <c r="G357" s="103"/>
      <c r="H357" s="1058"/>
      <c r="I357" s="684" t="str">
        <f t="shared" si="35"/>
        <v/>
      </c>
      <c r="J357" s="685">
        <f t="shared" si="36"/>
        <v>0</v>
      </c>
      <c r="K357" s="1260"/>
      <c r="L357" s="1253"/>
      <c r="M357" s="1259"/>
      <c r="N357" s="719"/>
      <c r="O357" s="720"/>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39"/>
        <v>0</v>
      </c>
      <c r="AQ357" s="42"/>
      <c r="AR357" s="42"/>
      <c r="AS357" s="42"/>
      <c r="AT357" s="43"/>
      <c r="AU357" s="687">
        <f t="shared" si="40"/>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37"/>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1"/>
        <v>0</v>
      </c>
      <c r="DO357" s="683"/>
    </row>
    <row r="358" spans="1:119" ht="25.5" customHeight="1" thickTop="1" thickBot="1" x14ac:dyDescent="0.25">
      <c r="A358" s="676">
        <f t="shared" si="38"/>
        <v>343</v>
      </c>
      <c r="B358" s="1054"/>
      <c r="C358" s="1055"/>
      <c r="D358" s="83"/>
      <c r="E358" s="954"/>
      <c r="F358" s="52"/>
      <c r="G358" s="103"/>
      <c r="H358" s="1058"/>
      <c r="I358" s="684" t="str">
        <f t="shared" si="35"/>
        <v/>
      </c>
      <c r="J358" s="685">
        <f t="shared" si="36"/>
        <v>0</v>
      </c>
      <c r="K358" s="1260"/>
      <c r="L358" s="1253"/>
      <c r="M358" s="1259"/>
      <c r="N358" s="719"/>
      <c r="O358" s="720"/>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39"/>
        <v>0</v>
      </c>
      <c r="AQ358" s="42"/>
      <c r="AR358" s="42"/>
      <c r="AS358" s="42"/>
      <c r="AT358" s="43"/>
      <c r="AU358" s="687">
        <f t="shared" si="40"/>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37"/>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1"/>
        <v>0</v>
      </c>
      <c r="DO358" s="683"/>
    </row>
    <row r="359" spans="1:119" ht="25.5" customHeight="1" thickTop="1" thickBot="1" x14ac:dyDescent="0.25">
      <c r="A359" s="676">
        <f t="shared" si="38"/>
        <v>344</v>
      </c>
      <c r="B359" s="1054"/>
      <c r="C359" s="1055"/>
      <c r="D359" s="83"/>
      <c r="E359" s="954"/>
      <c r="F359" s="52"/>
      <c r="G359" s="103"/>
      <c r="H359" s="1058"/>
      <c r="I359" s="684" t="str">
        <f t="shared" si="35"/>
        <v/>
      </c>
      <c r="J359" s="685">
        <f t="shared" si="36"/>
        <v>0</v>
      </c>
      <c r="K359" s="1260"/>
      <c r="L359" s="1253"/>
      <c r="M359" s="1259"/>
      <c r="N359" s="719"/>
      <c r="O359" s="720"/>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39"/>
        <v>0</v>
      </c>
      <c r="AQ359" s="42"/>
      <c r="AR359" s="42"/>
      <c r="AS359" s="42"/>
      <c r="AT359" s="43"/>
      <c r="AU359" s="687">
        <f t="shared" si="40"/>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37"/>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1"/>
        <v>0</v>
      </c>
      <c r="DO359" s="683"/>
    </row>
    <row r="360" spans="1:119" ht="25.5" customHeight="1" thickTop="1" thickBot="1" x14ac:dyDescent="0.25">
      <c r="A360" s="676">
        <f t="shared" si="38"/>
        <v>345</v>
      </c>
      <c r="B360" s="1054"/>
      <c r="C360" s="1055"/>
      <c r="D360" s="83"/>
      <c r="E360" s="954"/>
      <c r="F360" s="52"/>
      <c r="G360" s="103"/>
      <c r="H360" s="1058"/>
      <c r="I360" s="684" t="str">
        <f t="shared" si="35"/>
        <v/>
      </c>
      <c r="J360" s="685">
        <f t="shared" si="36"/>
        <v>0</v>
      </c>
      <c r="K360" s="1260"/>
      <c r="L360" s="1253"/>
      <c r="M360" s="1259"/>
      <c r="N360" s="719"/>
      <c r="O360" s="720"/>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39"/>
        <v>0</v>
      </c>
      <c r="AQ360" s="42"/>
      <c r="AR360" s="42"/>
      <c r="AS360" s="42"/>
      <c r="AT360" s="43"/>
      <c r="AU360" s="687">
        <f t="shared" si="40"/>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37"/>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1"/>
        <v>0</v>
      </c>
      <c r="DO360" s="683"/>
    </row>
    <row r="361" spans="1:119" ht="25.5" customHeight="1" thickTop="1" thickBot="1" x14ac:dyDescent="0.25">
      <c r="A361" s="676">
        <f t="shared" si="38"/>
        <v>346</v>
      </c>
      <c r="B361" s="1054"/>
      <c r="C361" s="1055"/>
      <c r="D361" s="83"/>
      <c r="E361" s="954"/>
      <c r="F361" s="52"/>
      <c r="G361" s="103"/>
      <c r="H361" s="1058"/>
      <c r="I361" s="684" t="str">
        <f t="shared" si="35"/>
        <v/>
      </c>
      <c r="J361" s="685">
        <f t="shared" si="36"/>
        <v>0</v>
      </c>
      <c r="K361" s="1260"/>
      <c r="L361" s="1253"/>
      <c r="M361" s="1259"/>
      <c r="N361" s="719"/>
      <c r="O361" s="720"/>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39"/>
        <v>0</v>
      </c>
      <c r="AQ361" s="42"/>
      <c r="AR361" s="42"/>
      <c r="AS361" s="42"/>
      <c r="AT361" s="43"/>
      <c r="AU361" s="687">
        <f t="shared" si="40"/>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37"/>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1"/>
        <v>0</v>
      </c>
      <c r="DO361" s="683"/>
    </row>
    <row r="362" spans="1:119" ht="25.5" customHeight="1" thickTop="1" thickBot="1" x14ac:dyDescent="0.25">
      <c r="A362" s="676">
        <f t="shared" si="38"/>
        <v>347</v>
      </c>
      <c r="B362" s="1054"/>
      <c r="C362" s="1055"/>
      <c r="D362" s="83"/>
      <c r="E362" s="954"/>
      <c r="F362" s="52"/>
      <c r="G362" s="103"/>
      <c r="H362" s="1058"/>
      <c r="I362" s="684" t="str">
        <f t="shared" si="35"/>
        <v/>
      </c>
      <c r="J362" s="685">
        <f t="shared" si="36"/>
        <v>0</v>
      </c>
      <c r="K362" s="1260"/>
      <c r="L362" s="1253"/>
      <c r="M362" s="1259"/>
      <c r="N362" s="719"/>
      <c r="O362" s="720"/>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39"/>
        <v>0</v>
      </c>
      <c r="AQ362" s="42"/>
      <c r="AR362" s="42"/>
      <c r="AS362" s="42"/>
      <c r="AT362" s="43"/>
      <c r="AU362" s="687">
        <f t="shared" si="40"/>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37"/>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1"/>
        <v>0</v>
      </c>
      <c r="DO362" s="683"/>
    </row>
    <row r="363" spans="1:119" ht="25.5" customHeight="1" thickTop="1" thickBot="1" x14ac:dyDescent="0.25">
      <c r="A363" s="676">
        <f t="shared" si="38"/>
        <v>348</v>
      </c>
      <c r="B363" s="1054"/>
      <c r="C363" s="1055"/>
      <c r="D363" s="83"/>
      <c r="E363" s="954"/>
      <c r="F363" s="52"/>
      <c r="G363" s="103"/>
      <c r="H363" s="1058"/>
      <c r="I363" s="684" t="str">
        <f t="shared" si="35"/>
        <v/>
      </c>
      <c r="J363" s="685">
        <f t="shared" si="36"/>
        <v>0</v>
      </c>
      <c r="K363" s="1260"/>
      <c r="L363" s="1253"/>
      <c r="M363" s="1259"/>
      <c r="N363" s="719"/>
      <c r="O363" s="720"/>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39"/>
        <v>0</v>
      </c>
      <c r="AQ363" s="42"/>
      <c r="AR363" s="42"/>
      <c r="AS363" s="42"/>
      <c r="AT363" s="43"/>
      <c r="AU363" s="687">
        <f t="shared" si="40"/>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37"/>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1"/>
        <v>0</v>
      </c>
      <c r="DO363" s="683"/>
    </row>
    <row r="364" spans="1:119" ht="25.5" customHeight="1" thickTop="1" thickBot="1" x14ac:dyDescent="0.25">
      <c r="A364" s="676">
        <f t="shared" si="38"/>
        <v>349</v>
      </c>
      <c r="B364" s="1054"/>
      <c r="C364" s="1055"/>
      <c r="D364" s="83"/>
      <c r="E364" s="954"/>
      <c r="F364" s="52"/>
      <c r="G364" s="103"/>
      <c r="H364" s="1058"/>
      <c r="I364" s="684" t="str">
        <f t="shared" si="35"/>
        <v/>
      </c>
      <c r="J364" s="685">
        <f t="shared" si="36"/>
        <v>0</v>
      </c>
      <c r="K364" s="1260"/>
      <c r="L364" s="1253"/>
      <c r="M364" s="1259"/>
      <c r="N364" s="719"/>
      <c r="O364" s="720"/>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39"/>
        <v>0</v>
      </c>
      <c r="AQ364" s="42"/>
      <c r="AR364" s="42"/>
      <c r="AS364" s="42"/>
      <c r="AT364" s="43"/>
      <c r="AU364" s="687">
        <f t="shared" si="40"/>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37"/>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1"/>
        <v>0</v>
      </c>
      <c r="DO364" s="683"/>
    </row>
    <row r="365" spans="1:119" ht="25.5" customHeight="1" thickTop="1" thickBot="1" x14ac:dyDescent="0.25">
      <c r="A365" s="676">
        <f t="shared" si="38"/>
        <v>350</v>
      </c>
      <c r="B365" s="1054"/>
      <c r="C365" s="1055"/>
      <c r="D365" s="83"/>
      <c r="E365" s="954"/>
      <c r="F365" s="52"/>
      <c r="G365" s="103"/>
      <c r="H365" s="1058"/>
      <c r="I365" s="684" t="str">
        <f t="shared" si="35"/>
        <v/>
      </c>
      <c r="J365" s="685">
        <f t="shared" si="36"/>
        <v>0</v>
      </c>
      <c r="K365" s="1260"/>
      <c r="L365" s="1253"/>
      <c r="M365" s="1259"/>
      <c r="N365" s="719"/>
      <c r="O365" s="720"/>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39"/>
        <v>0</v>
      </c>
      <c r="AQ365" s="42"/>
      <c r="AR365" s="42"/>
      <c r="AS365" s="42"/>
      <c r="AT365" s="43"/>
      <c r="AU365" s="687">
        <f t="shared" si="40"/>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37"/>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1"/>
        <v>0</v>
      </c>
      <c r="DO365" s="683"/>
    </row>
    <row r="366" spans="1:119" ht="25.5" customHeight="1" thickTop="1" thickBot="1" x14ac:dyDescent="0.25">
      <c r="A366" s="676">
        <f t="shared" si="38"/>
        <v>351</v>
      </c>
      <c r="B366" s="1054"/>
      <c r="C366" s="1055"/>
      <c r="D366" s="83"/>
      <c r="E366" s="954"/>
      <c r="F366" s="52"/>
      <c r="G366" s="103"/>
      <c r="H366" s="1058"/>
      <c r="I366" s="684" t="str">
        <f t="shared" si="35"/>
        <v/>
      </c>
      <c r="J366" s="685">
        <f t="shared" si="36"/>
        <v>0</v>
      </c>
      <c r="K366" s="1260"/>
      <c r="L366" s="1253"/>
      <c r="M366" s="1259"/>
      <c r="N366" s="719"/>
      <c r="O366" s="720"/>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39"/>
        <v>0</v>
      </c>
      <c r="AQ366" s="42"/>
      <c r="AR366" s="42"/>
      <c r="AS366" s="42"/>
      <c r="AT366" s="43"/>
      <c r="AU366" s="687">
        <f t="shared" si="40"/>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37"/>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1"/>
        <v>0</v>
      </c>
      <c r="DO366" s="683"/>
    </row>
    <row r="367" spans="1:119" ht="25.5" customHeight="1" thickTop="1" thickBot="1" x14ac:dyDescent="0.25">
      <c r="A367" s="676">
        <f t="shared" si="38"/>
        <v>352</v>
      </c>
      <c r="B367" s="1054"/>
      <c r="C367" s="1055"/>
      <c r="D367" s="83"/>
      <c r="E367" s="954"/>
      <c r="F367" s="52"/>
      <c r="G367" s="103"/>
      <c r="H367" s="1058"/>
      <c r="I367" s="684" t="str">
        <f t="shared" si="35"/>
        <v/>
      </c>
      <c r="J367" s="685">
        <f t="shared" si="36"/>
        <v>0</v>
      </c>
      <c r="K367" s="1260"/>
      <c r="L367" s="1253"/>
      <c r="M367" s="1259"/>
      <c r="N367" s="719"/>
      <c r="O367" s="720"/>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39"/>
        <v>0</v>
      </c>
      <c r="AQ367" s="42"/>
      <c r="AR367" s="42"/>
      <c r="AS367" s="42"/>
      <c r="AT367" s="43"/>
      <c r="AU367" s="687">
        <f t="shared" si="40"/>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37"/>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1"/>
        <v>0</v>
      </c>
      <c r="DO367" s="683"/>
    </row>
    <row r="368" spans="1:119" ht="25.5" customHeight="1" thickTop="1" thickBot="1" x14ac:dyDescent="0.25">
      <c r="A368" s="676">
        <f t="shared" si="38"/>
        <v>353</v>
      </c>
      <c r="B368" s="1054"/>
      <c r="C368" s="1055"/>
      <c r="D368" s="83"/>
      <c r="E368" s="954"/>
      <c r="F368" s="52"/>
      <c r="G368" s="103"/>
      <c r="H368" s="1058"/>
      <c r="I368" s="684" t="str">
        <f t="shared" si="35"/>
        <v/>
      </c>
      <c r="J368" s="685">
        <f t="shared" si="36"/>
        <v>0</v>
      </c>
      <c r="K368" s="1260"/>
      <c r="L368" s="1253"/>
      <c r="M368" s="1259"/>
      <c r="N368" s="719"/>
      <c r="O368" s="720"/>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39"/>
        <v>0</v>
      </c>
      <c r="AQ368" s="42"/>
      <c r="AR368" s="42"/>
      <c r="AS368" s="42"/>
      <c r="AT368" s="43"/>
      <c r="AU368" s="687">
        <f t="shared" si="40"/>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37"/>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1"/>
        <v>0</v>
      </c>
      <c r="DO368" s="683"/>
    </row>
    <row r="369" spans="1:119" ht="25.5" customHeight="1" thickTop="1" thickBot="1" x14ac:dyDescent="0.25">
      <c r="A369" s="676">
        <f t="shared" si="38"/>
        <v>354</v>
      </c>
      <c r="B369" s="1054"/>
      <c r="C369" s="1055"/>
      <c r="D369" s="83"/>
      <c r="E369" s="954"/>
      <c r="F369" s="52"/>
      <c r="G369" s="103"/>
      <c r="H369" s="1058"/>
      <c r="I369" s="684" t="str">
        <f t="shared" si="35"/>
        <v/>
      </c>
      <c r="J369" s="685">
        <f t="shared" si="36"/>
        <v>0</v>
      </c>
      <c r="K369" s="1260"/>
      <c r="L369" s="1253"/>
      <c r="M369" s="1259"/>
      <c r="N369" s="719"/>
      <c r="O369" s="720"/>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39"/>
        <v>0</v>
      </c>
      <c r="AQ369" s="42"/>
      <c r="AR369" s="42"/>
      <c r="AS369" s="42"/>
      <c r="AT369" s="43"/>
      <c r="AU369" s="687">
        <f t="shared" si="40"/>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37"/>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1"/>
        <v>0</v>
      </c>
      <c r="DO369" s="683"/>
    </row>
    <row r="370" spans="1:119" ht="25.5" customHeight="1" thickTop="1" thickBot="1" x14ac:dyDescent="0.25">
      <c r="A370" s="676">
        <f t="shared" si="38"/>
        <v>355</v>
      </c>
      <c r="B370" s="1054"/>
      <c r="C370" s="1055"/>
      <c r="D370" s="83"/>
      <c r="E370" s="954"/>
      <c r="F370" s="52"/>
      <c r="G370" s="103"/>
      <c r="H370" s="1058"/>
      <c r="I370" s="684" t="str">
        <f t="shared" si="35"/>
        <v/>
      </c>
      <c r="J370" s="685">
        <f t="shared" si="36"/>
        <v>0</v>
      </c>
      <c r="K370" s="1260"/>
      <c r="L370" s="1253"/>
      <c r="M370" s="1259"/>
      <c r="N370" s="719"/>
      <c r="O370" s="720"/>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39"/>
        <v>0</v>
      </c>
      <c r="AQ370" s="42"/>
      <c r="AR370" s="42"/>
      <c r="AS370" s="42"/>
      <c r="AT370" s="43"/>
      <c r="AU370" s="687">
        <f t="shared" si="40"/>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37"/>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1"/>
        <v>0</v>
      </c>
      <c r="DO370" s="683"/>
    </row>
    <row r="371" spans="1:119" ht="25.5" customHeight="1" thickTop="1" thickBot="1" x14ac:dyDescent="0.25">
      <c r="A371" s="676">
        <f t="shared" si="38"/>
        <v>356</v>
      </c>
      <c r="B371" s="1054"/>
      <c r="C371" s="1055"/>
      <c r="D371" s="83"/>
      <c r="E371" s="954"/>
      <c r="F371" s="52"/>
      <c r="G371" s="103"/>
      <c r="H371" s="1058"/>
      <c r="I371" s="684" t="str">
        <f t="shared" si="35"/>
        <v/>
      </c>
      <c r="J371" s="685">
        <f t="shared" si="36"/>
        <v>0</v>
      </c>
      <c r="K371" s="1260"/>
      <c r="L371" s="1253"/>
      <c r="M371" s="1259"/>
      <c r="N371" s="719"/>
      <c r="O371" s="720"/>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39"/>
        <v>0</v>
      </c>
      <c r="AQ371" s="42"/>
      <c r="AR371" s="42"/>
      <c r="AS371" s="42"/>
      <c r="AT371" s="43"/>
      <c r="AU371" s="687">
        <f t="shared" si="40"/>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37"/>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1"/>
        <v>0</v>
      </c>
      <c r="DO371" s="683"/>
    </row>
    <row r="372" spans="1:119" ht="25.5" customHeight="1" thickTop="1" thickBot="1" x14ac:dyDescent="0.25">
      <c r="A372" s="676">
        <f t="shared" si="38"/>
        <v>357</v>
      </c>
      <c r="B372" s="1054"/>
      <c r="C372" s="1055"/>
      <c r="D372" s="83"/>
      <c r="E372" s="954"/>
      <c r="F372" s="52"/>
      <c r="G372" s="103"/>
      <c r="H372" s="1058"/>
      <c r="I372" s="684" t="str">
        <f t="shared" si="35"/>
        <v/>
      </c>
      <c r="J372" s="685">
        <f t="shared" si="36"/>
        <v>0</v>
      </c>
      <c r="K372" s="1260"/>
      <c r="L372" s="1253"/>
      <c r="M372" s="1259"/>
      <c r="N372" s="719"/>
      <c r="O372" s="720"/>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39"/>
        <v>0</v>
      </c>
      <c r="AQ372" s="42"/>
      <c r="AR372" s="42"/>
      <c r="AS372" s="42"/>
      <c r="AT372" s="43"/>
      <c r="AU372" s="687">
        <f t="shared" si="40"/>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37"/>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1"/>
        <v>0</v>
      </c>
      <c r="DO372" s="683"/>
    </row>
    <row r="373" spans="1:119" ht="25.5" customHeight="1" thickTop="1" thickBot="1" x14ac:dyDescent="0.25">
      <c r="A373" s="676">
        <f t="shared" si="38"/>
        <v>358</v>
      </c>
      <c r="B373" s="1054"/>
      <c r="C373" s="1055"/>
      <c r="D373" s="83"/>
      <c r="E373" s="954"/>
      <c r="F373" s="52"/>
      <c r="G373" s="103"/>
      <c r="H373" s="1058"/>
      <c r="I373" s="684" t="str">
        <f t="shared" si="35"/>
        <v/>
      </c>
      <c r="J373" s="685">
        <f t="shared" si="36"/>
        <v>0</v>
      </c>
      <c r="K373" s="1260"/>
      <c r="L373" s="1253"/>
      <c r="M373" s="1259"/>
      <c r="N373" s="719"/>
      <c r="O373" s="720"/>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39"/>
        <v>0</v>
      </c>
      <c r="AQ373" s="42"/>
      <c r="AR373" s="42"/>
      <c r="AS373" s="42"/>
      <c r="AT373" s="43"/>
      <c r="AU373" s="687">
        <f t="shared" si="40"/>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37"/>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1"/>
        <v>0</v>
      </c>
      <c r="DO373" s="683"/>
    </row>
    <row r="374" spans="1:119" ht="25.5" customHeight="1" thickTop="1" thickBot="1" x14ac:dyDescent="0.25">
      <c r="A374" s="676">
        <f t="shared" si="38"/>
        <v>359</v>
      </c>
      <c r="B374" s="1054"/>
      <c r="C374" s="1055"/>
      <c r="D374" s="83"/>
      <c r="E374" s="954"/>
      <c r="F374" s="52"/>
      <c r="G374" s="103"/>
      <c r="H374" s="1058"/>
      <c r="I374" s="684" t="str">
        <f t="shared" si="35"/>
        <v/>
      </c>
      <c r="J374" s="685">
        <f t="shared" si="36"/>
        <v>0</v>
      </c>
      <c r="K374" s="1260"/>
      <c r="L374" s="1253"/>
      <c r="M374" s="1259"/>
      <c r="N374" s="719"/>
      <c r="O374" s="720"/>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39"/>
        <v>0</v>
      </c>
      <c r="AQ374" s="42"/>
      <c r="AR374" s="42"/>
      <c r="AS374" s="42"/>
      <c r="AT374" s="43"/>
      <c r="AU374" s="687">
        <f t="shared" si="40"/>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37"/>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1"/>
        <v>0</v>
      </c>
      <c r="DO374" s="683"/>
    </row>
    <row r="375" spans="1:119" ht="25.5" customHeight="1" thickTop="1" thickBot="1" x14ac:dyDescent="0.25">
      <c r="A375" s="676">
        <f t="shared" si="38"/>
        <v>360</v>
      </c>
      <c r="B375" s="1054"/>
      <c r="C375" s="1055"/>
      <c r="D375" s="83"/>
      <c r="E375" s="954"/>
      <c r="F375" s="52"/>
      <c r="G375" s="103"/>
      <c r="H375" s="1058"/>
      <c r="I375" s="684" t="str">
        <f t="shared" si="35"/>
        <v/>
      </c>
      <c r="J375" s="685">
        <f t="shared" si="36"/>
        <v>0</v>
      </c>
      <c r="K375" s="1260"/>
      <c r="L375" s="1253"/>
      <c r="M375" s="1259"/>
      <c r="N375" s="719"/>
      <c r="O375" s="720"/>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39"/>
        <v>0</v>
      </c>
      <c r="AQ375" s="42"/>
      <c r="AR375" s="42"/>
      <c r="AS375" s="42"/>
      <c r="AT375" s="43"/>
      <c r="AU375" s="687">
        <f t="shared" si="40"/>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37"/>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1"/>
        <v>0</v>
      </c>
      <c r="DO375" s="683"/>
    </row>
    <row r="376" spans="1:119" ht="25.5" customHeight="1" thickTop="1" thickBot="1" x14ac:dyDescent="0.25">
      <c r="A376" s="676">
        <f t="shared" si="38"/>
        <v>361</v>
      </c>
      <c r="B376" s="1054"/>
      <c r="C376" s="1055"/>
      <c r="D376" s="83"/>
      <c r="E376" s="954"/>
      <c r="F376" s="52"/>
      <c r="G376" s="103"/>
      <c r="H376" s="1058"/>
      <c r="I376" s="684" t="str">
        <f t="shared" si="35"/>
        <v/>
      </c>
      <c r="J376" s="685">
        <f t="shared" si="36"/>
        <v>0</v>
      </c>
      <c r="K376" s="1260"/>
      <c r="L376" s="1253"/>
      <c r="M376" s="1259"/>
      <c r="N376" s="719"/>
      <c r="O376" s="720"/>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39"/>
        <v>0</v>
      </c>
      <c r="AQ376" s="42"/>
      <c r="AR376" s="42"/>
      <c r="AS376" s="42"/>
      <c r="AT376" s="43"/>
      <c r="AU376" s="687">
        <f t="shared" si="40"/>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37"/>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1"/>
        <v>0</v>
      </c>
      <c r="DO376" s="683"/>
    </row>
    <row r="377" spans="1:119" ht="25.5" customHeight="1" thickTop="1" thickBot="1" x14ac:dyDescent="0.25">
      <c r="A377" s="676">
        <f t="shared" si="38"/>
        <v>362</v>
      </c>
      <c r="B377" s="1054"/>
      <c r="C377" s="1055"/>
      <c r="D377" s="83"/>
      <c r="E377" s="954"/>
      <c r="F377" s="52"/>
      <c r="G377" s="103"/>
      <c r="H377" s="1058"/>
      <c r="I377" s="684" t="str">
        <f t="shared" si="35"/>
        <v/>
      </c>
      <c r="J377" s="685">
        <f t="shared" si="36"/>
        <v>0</v>
      </c>
      <c r="K377" s="1260"/>
      <c r="L377" s="1253"/>
      <c r="M377" s="1259"/>
      <c r="N377" s="719"/>
      <c r="O377" s="720"/>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39"/>
        <v>0</v>
      </c>
      <c r="AQ377" s="42"/>
      <c r="AR377" s="42"/>
      <c r="AS377" s="42"/>
      <c r="AT377" s="43"/>
      <c r="AU377" s="687">
        <f t="shared" si="40"/>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37"/>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1"/>
        <v>0</v>
      </c>
      <c r="DO377" s="683"/>
    </row>
    <row r="378" spans="1:119" ht="25.5" customHeight="1" thickTop="1" thickBot="1" x14ac:dyDescent="0.25">
      <c r="A378" s="676">
        <f t="shared" si="38"/>
        <v>363</v>
      </c>
      <c r="B378" s="1054"/>
      <c r="C378" s="1055"/>
      <c r="D378" s="83"/>
      <c r="E378" s="954"/>
      <c r="F378" s="52"/>
      <c r="G378" s="103"/>
      <c r="H378" s="1058"/>
      <c r="I378" s="684" t="str">
        <f t="shared" si="35"/>
        <v/>
      </c>
      <c r="J378" s="685">
        <f t="shared" si="36"/>
        <v>0</v>
      </c>
      <c r="K378" s="1260"/>
      <c r="L378" s="1253"/>
      <c r="M378" s="1259"/>
      <c r="N378" s="719"/>
      <c r="O378" s="720"/>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39"/>
        <v>0</v>
      </c>
      <c r="AQ378" s="42"/>
      <c r="AR378" s="42"/>
      <c r="AS378" s="42"/>
      <c r="AT378" s="43"/>
      <c r="AU378" s="687">
        <f t="shared" si="40"/>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37"/>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1"/>
        <v>0</v>
      </c>
      <c r="DO378" s="683"/>
    </row>
    <row r="379" spans="1:119" ht="25.5" customHeight="1" thickTop="1" thickBot="1" x14ac:dyDescent="0.25">
      <c r="A379" s="676">
        <f t="shared" si="38"/>
        <v>364</v>
      </c>
      <c r="B379" s="1054"/>
      <c r="C379" s="1055"/>
      <c r="D379" s="83"/>
      <c r="E379" s="954"/>
      <c r="F379" s="52"/>
      <c r="G379" s="103"/>
      <c r="H379" s="1058"/>
      <c r="I379" s="684" t="str">
        <f t="shared" si="35"/>
        <v/>
      </c>
      <c r="J379" s="685">
        <f t="shared" si="36"/>
        <v>0</v>
      </c>
      <c r="K379" s="1260"/>
      <c r="L379" s="1253"/>
      <c r="M379" s="1259"/>
      <c r="N379" s="719"/>
      <c r="O379" s="720"/>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39"/>
        <v>0</v>
      </c>
      <c r="AQ379" s="42"/>
      <c r="AR379" s="42"/>
      <c r="AS379" s="42"/>
      <c r="AT379" s="43"/>
      <c r="AU379" s="687">
        <f t="shared" si="40"/>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37"/>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1"/>
        <v>0</v>
      </c>
      <c r="DO379" s="683"/>
    </row>
    <row r="380" spans="1:119" ht="25.5" customHeight="1" thickTop="1" thickBot="1" x14ac:dyDescent="0.25">
      <c r="A380" s="676">
        <f t="shared" si="38"/>
        <v>365</v>
      </c>
      <c r="B380" s="1054"/>
      <c r="C380" s="1055"/>
      <c r="D380" s="83"/>
      <c r="E380" s="954"/>
      <c r="F380" s="52"/>
      <c r="G380" s="103"/>
      <c r="H380" s="1058"/>
      <c r="I380" s="684" t="str">
        <f t="shared" si="35"/>
        <v/>
      </c>
      <c r="J380" s="685">
        <f t="shared" si="36"/>
        <v>0</v>
      </c>
      <c r="K380" s="1260"/>
      <c r="L380" s="1253"/>
      <c r="M380" s="1259"/>
      <c r="N380" s="719"/>
      <c r="O380" s="720"/>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39"/>
        <v>0</v>
      </c>
      <c r="AQ380" s="42"/>
      <c r="AR380" s="42"/>
      <c r="AS380" s="42"/>
      <c r="AT380" s="43"/>
      <c r="AU380" s="687">
        <f t="shared" si="40"/>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37"/>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1"/>
        <v>0</v>
      </c>
      <c r="DO380" s="683"/>
    </row>
    <row r="381" spans="1:119" ht="25.5" customHeight="1" thickTop="1" thickBot="1" x14ac:dyDescent="0.25">
      <c r="A381" s="676">
        <f t="shared" si="38"/>
        <v>366</v>
      </c>
      <c r="B381" s="1054"/>
      <c r="C381" s="1055"/>
      <c r="D381" s="83"/>
      <c r="E381" s="954"/>
      <c r="F381" s="52"/>
      <c r="G381" s="103"/>
      <c r="H381" s="1058"/>
      <c r="I381" s="684" t="str">
        <f t="shared" si="35"/>
        <v/>
      </c>
      <c r="J381" s="685">
        <f t="shared" si="36"/>
        <v>0</v>
      </c>
      <c r="K381" s="1260"/>
      <c r="L381" s="1253"/>
      <c r="M381" s="1259"/>
      <c r="N381" s="719"/>
      <c r="O381" s="720"/>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39"/>
        <v>0</v>
      </c>
      <c r="AQ381" s="42"/>
      <c r="AR381" s="42"/>
      <c r="AS381" s="42"/>
      <c r="AT381" s="43"/>
      <c r="AU381" s="687">
        <f t="shared" si="40"/>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37"/>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1"/>
        <v>0</v>
      </c>
      <c r="DO381" s="683"/>
    </row>
    <row r="382" spans="1:119" ht="25.5" customHeight="1" thickTop="1" thickBot="1" x14ac:dyDescent="0.25">
      <c r="A382" s="676">
        <f t="shared" si="38"/>
        <v>367</v>
      </c>
      <c r="B382" s="1054"/>
      <c r="C382" s="1055"/>
      <c r="D382" s="83"/>
      <c r="E382" s="954"/>
      <c r="F382" s="52"/>
      <c r="G382" s="103"/>
      <c r="H382" s="1058"/>
      <c r="I382" s="684" t="str">
        <f t="shared" si="35"/>
        <v/>
      </c>
      <c r="J382" s="685">
        <f t="shared" si="36"/>
        <v>0</v>
      </c>
      <c r="K382" s="1260"/>
      <c r="L382" s="1253"/>
      <c r="M382" s="1259"/>
      <c r="N382" s="719"/>
      <c r="O382" s="720"/>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39"/>
        <v>0</v>
      </c>
      <c r="AQ382" s="42"/>
      <c r="AR382" s="42"/>
      <c r="AS382" s="42"/>
      <c r="AT382" s="43"/>
      <c r="AU382" s="687">
        <f t="shared" si="40"/>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37"/>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1"/>
        <v>0</v>
      </c>
      <c r="DO382" s="683"/>
    </row>
    <row r="383" spans="1:119" ht="25.5" customHeight="1" thickTop="1" thickBot="1" x14ac:dyDescent="0.25">
      <c r="A383" s="676">
        <f t="shared" si="38"/>
        <v>368</v>
      </c>
      <c r="B383" s="1054"/>
      <c r="C383" s="1055"/>
      <c r="D383" s="83"/>
      <c r="E383" s="954"/>
      <c r="F383" s="52"/>
      <c r="G383" s="103"/>
      <c r="H383" s="1058"/>
      <c r="I383" s="684" t="str">
        <f t="shared" si="35"/>
        <v/>
      </c>
      <c r="J383" s="685">
        <f t="shared" si="36"/>
        <v>0</v>
      </c>
      <c r="K383" s="1260"/>
      <c r="L383" s="1253"/>
      <c r="M383" s="1259"/>
      <c r="N383" s="719"/>
      <c r="O383" s="720"/>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39"/>
        <v>0</v>
      </c>
      <c r="AQ383" s="42"/>
      <c r="AR383" s="42"/>
      <c r="AS383" s="42"/>
      <c r="AT383" s="43"/>
      <c r="AU383" s="687">
        <f t="shared" si="40"/>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37"/>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1"/>
        <v>0</v>
      </c>
      <c r="DO383" s="683"/>
    </row>
    <row r="384" spans="1:119" ht="25.5" customHeight="1" thickTop="1" thickBot="1" x14ac:dyDescent="0.25">
      <c r="A384" s="676">
        <f t="shared" si="38"/>
        <v>369</v>
      </c>
      <c r="B384" s="1054"/>
      <c r="C384" s="1055"/>
      <c r="D384" s="83"/>
      <c r="E384" s="954"/>
      <c r="F384" s="52"/>
      <c r="G384" s="103"/>
      <c r="H384" s="1058"/>
      <c r="I384" s="684" t="str">
        <f t="shared" si="35"/>
        <v/>
      </c>
      <c r="J384" s="685">
        <f t="shared" si="36"/>
        <v>0</v>
      </c>
      <c r="K384" s="1260"/>
      <c r="L384" s="1253"/>
      <c r="M384" s="1259"/>
      <c r="N384" s="719"/>
      <c r="O384" s="720"/>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39"/>
        <v>0</v>
      </c>
      <c r="AQ384" s="42"/>
      <c r="AR384" s="42"/>
      <c r="AS384" s="42"/>
      <c r="AT384" s="43"/>
      <c r="AU384" s="687">
        <f t="shared" si="40"/>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37"/>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1"/>
        <v>0</v>
      </c>
      <c r="DO384" s="683"/>
    </row>
    <row r="385" spans="1:119" ht="25.5" customHeight="1" thickTop="1" thickBot="1" x14ac:dyDescent="0.25">
      <c r="A385" s="676">
        <f t="shared" si="38"/>
        <v>370</v>
      </c>
      <c r="B385" s="1054"/>
      <c r="C385" s="1055"/>
      <c r="D385" s="83"/>
      <c r="E385" s="954"/>
      <c r="F385" s="52"/>
      <c r="G385" s="103"/>
      <c r="H385" s="1058"/>
      <c r="I385" s="684" t="str">
        <f t="shared" si="35"/>
        <v/>
      </c>
      <c r="J385" s="685">
        <f t="shared" si="36"/>
        <v>0</v>
      </c>
      <c r="K385" s="1260"/>
      <c r="L385" s="1253"/>
      <c r="M385" s="1259"/>
      <c r="N385" s="719"/>
      <c r="O385" s="720"/>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39"/>
        <v>0</v>
      </c>
      <c r="AQ385" s="42"/>
      <c r="AR385" s="42"/>
      <c r="AS385" s="42"/>
      <c r="AT385" s="43"/>
      <c r="AU385" s="687">
        <f t="shared" si="40"/>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37"/>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1"/>
        <v>0</v>
      </c>
      <c r="DO385" s="683"/>
    </row>
    <row r="386" spans="1:119" ht="25.5" customHeight="1" thickTop="1" thickBot="1" x14ac:dyDescent="0.25">
      <c r="A386" s="676">
        <f t="shared" si="38"/>
        <v>371</v>
      </c>
      <c r="B386" s="1054"/>
      <c r="C386" s="1055"/>
      <c r="D386" s="83"/>
      <c r="E386" s="954"/>
      <c r="F386" s="52"/>
      <c r="G386" s="103"/>
      <c r="H386" s="1058"/>
      <c r="I386" s="684" t="str">
        <f t="shared" si="35"/>
        <v/>
      </c>
      <c r="J386" s="685">
        <f t="shared" si="36"/>
        <v>0</v>
      </c>
      <c r="K386" s="1260"/>
      <c r="L386" s="1253"/>
      <c r="M386" s="1259"/>
      <c r="N386" s="719"/>
      <c r="O386" s="720"/>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39"/>
        <v>0</v>
      </c>
      <c r="AQ386" s="42"/>
      <c r="AR386" s="42"/>
      <c r="AS386" s="42"/>
      <c r="AT386" s="43"/>
      <c r="AU386" s="687">
        <f t="shared" si="40"/>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37"/>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1"/>
        <v>0</v>
      </c>
      <c r="DO386" s="683"/>
    </row>
    <row r="387" spans="1:119" ht="25.5" customHeight="1" thickTop="1" thickBot="1" x14ac:dyDescent="0.25">
      <c r="A387" s="676">
        <f t="shared" si="38"/>
        <v>372</v>
      </c>
      <c r="B387" s="1054"/>
      <c r="C387" s="1055"/>
      <c r="D387" s="83"/>
      <c r="E387" s="954"/>
      <c r="F387" s="52"/>
      <c r="G387" s="103"/>
      <c r="H387" s="1058"/>
      <c r="I387" s="684" t="str">
        <f t="shared" si="35"/>
        <v/>
      </c>
      <c r="J387" s="685">
        <f t="shared" si="36"/>
        <v>0</v>
      </c>
      <c r="K387" s="1260"/>
      <c r="L387" s="1253"/>
      <c r="M387" s="1259"/>
      <c r="N387" s="719"/>
      <c r="O387" s="720"/>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39"/>
        <v>0</v>
      </c>
      <c r="AQ387" s="42"/>
      <c r="AR387" s="42"/>
      <c r="AS387" s="42"/>
      <c r="AT387" s="43"/>
      <c r="AU387" s="687">
        <f t="shared" si="40"/>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37"/>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1"/>
        <v>0</v>
      </c>
      <c r="DO387" s="683"/>
    </row>
    <row r="388" spans="1:119" ht="25.5" customHeight="1" thickTop="1" thickBot="1" x14ac:dyDescent="0.25">
      <c r="A388" s="676">
        <f t="shared" si="38"/>
        <v>373</v>
      </c>
      <c r="B388" s="1054"/>
      <c r="C388" s="1055"/>
      <c r="D388" s="83"/>
      <c r="E388" s="954"/>
      <c r="F388" s="52"/>
      <c r="G388" s="103"/>
      <c r="H388" s="1058"/>
      <c r="I388" s="684" t="str">
        <f t="shared" si="35"/>
        <v/>
      </c>
      <c r="J388" s="685">
        <f t="shared" si="36"/>
        <v>0</v>
      </c>
      <c r="K388" s="1260"/>
      <c r="L388" s="1253"/>
      <c r="M388" s="1259"/>
      <c r="N388" s="719"/>
      <c r="O388" s="720"/>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39"/>
        <v>0</v>
      </c>
      <c r="AQ388" s="42"/>
      <c r="AR388" s="42"/>
      <c r="AS388" s="42"/>
      <c r="AT388" s="43"/>
      <c r="AU388" s="687">
        <f t="shared" si="40"/>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37"/>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1"/>
        <v>0</v>
      </c>
      <c r="DO388" s="683"/>
    </row>
    <row r="389" spans="1:119" ht="25.5" customHeight="1" thickTop="1" thickBot="1" x14ac:dyDescent="0.25">
      <c r="A389" s="676">
        <f t="shared" si="38"/>
        <v>374</v>
      </c>
      <c r="B389" s="1054"/>
      <c r="C389" s="1055"/>
      <c r="D389" s="83"/>
      <c r="E389" s="954"/>
      <c r="F389" s="52"/>
      <c r="G389" s="103"/>
      <c r="H389" s="1058"/>
      <c r="I389" s="684" t="str">
        <f t="shared" si="35"/>
        <v/>
      </c>
      <c r="J389" s="685">
        <f t="shared" si="36"/>
        <v>0</v>
      </c>
      <c r="K389" s="1260"/>
      <c r="L389" s="1253"/>
      <c r="M389" s="1259"/>
      <c r="N389" s="719"/>
      <c r="O389" s="720"/>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39"/>
        <v>0</v>
      </c>
      <c r="AQ389" s="42"/>
      <c r="AR389" s="42"/>
      <c r="AS389" s="42"/>
      <c r="AT389" s="43"/>
      <c r="AU389" s="687">
        <f t="shared" si="40"/>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37"/>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1"/>
        <v>0</v>
      </c>
      <c r="DO389" s="683"/>
    </row>
    <row r="390" spans="1:119" ht="25.5" customHeight="1" thickTop="1" thickBot="1" x14ac:dyDescent="0.25">
      <c r="A390" s="676">
        <f t="shared" si="38"/>
        <v>375</v>
      </c>
      <c r="B390" s="1054"/>
      <c r="C390" s="1055"/>
      <c r="D390" s="83"/>
      <c r="E390" s="954"/>
      <c r="F390" s="52"/>
      <c r="G390" s="103"/>
      <c r="H390" s="1058"/>
      <c r="I390" s="684" t="str">
        <f t="shared" si="35"/>
        <v/>
      </c>
      <c r="J390" s="685">
        <f t="shared" si="36"/>
        <v>0</v>
      </c>
      <c r="K390" s="1260"/>
      <c r="L390" s="1253"/>
      <c r="M390" s="1259"/>
      <c r="N390" s="719"/>
      <c r="O390" s="720"/>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39"/>
        <v>0</v>
      </c>
      <c r="AQ390" s="42"/>
      <c r="AR390" s="42"/>
      <c r="AS390" s="42"/>
      <c r="AT390" s="43"/>
      <c r="AU390" s="687">
        <f t="shared" si="40"/>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37"/>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1"/>
        <v>0</v>
      </c>
      <c r="DO390" s="683"/>
    </row>
    <row r="391" spans="1:119" ht="25.5" customHeight="1" thickTop="1" thickBot="1" x14ac:dyDescent="0.25">
      <c r="A391" s="676">
        <f t="shared" si="38"/>
        <v>376</v>
      </c>
      <c r="B391" s="1054"/>
      <c r="C391" s="1055"/>
      <c r="D391" s="83"/>
      <c r="E391" s="954"/>
      <c r="F391" s="52"/>
      <c r="G391" s="103"/>
      <c r="H391" s="1058"/>
      <c r="I391" s="684" t="str">
        <f t="shared" si="35"/>
        <v/>
      </c>
      <c r="J391" s="685">
        <f t="shared" si="36"/>
        <v>0</v>
      </c>
      <c r="K391" s="1260"/>
      <c r="L391" s="1253"/>
      <c r="M391" s="1259"/>
      <c r="N391" s="719"/>
      <c r="O391" s="720"/>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39"/>
        <v>0</v>
      </c>
      <c r="AQ391" s="42"/>
      <c r="AR391" s="42"/>
      <c r="AS391" s="42"/>
      <c r="AT391" s="43"/>
      <c r="AU391" s="687">
        <f t="shared" si="40"/>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37"/>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1"/>
        <v>0</v>
      </c>
      <c r="DO391" s="683"/>
    </row>
    <row r="392" spans="1:119" ht="25.5" customHeight="1" thickTop="1" thickBot="1" x14ac:dyDescent="0.25">
      <c r="A392" s="676">
        <f t="shared" si="38"/>
        <v>377</v>
      </c>
      <c r="B392" s="1054"/>
      <c r="C392" s="1055"/>
      <c r="D392" s="83"/>
      <c r="E392" s="954"/>
      <c r="F392" s="52"/>
      <c r="G392" s="103"/>
      <c r="H392" s="1058"/>
      <c r="I392" s="684" t="str">
        <f t="shared" si="35"/>
        <v/>
      </c>
      <c r="J392" s="685">
        <f t="shared" si="36"/>
        <v>0</v>
      </c>
      <c r="K392" s="1260"/>
      <c r="L392" s="1253"/>
      <c r="M392" s="1259"/>
      <c r="N392" s="719"/>
      <c r="O392" s="720"/>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39"/>
        <v>0</v>
      </c>
      <c r="AQ392" s="42"/>
      <c r="AR392" s="42"/>
      <c r="AS392" s="42"/>
      <c r="AT392" s="43"/>
      <c r="AU392" s="687">
        <f t="shared" si="40"/>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37"/>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1"/>
        <v>0</v>
      </c>
      <c r="DO392" s="683"/>
    </row>
    <row r="393" spans="1:119" ht="25.5" customHeight="1" thickTop="1" thickBot="1" x14ac:dyDescent="0.25">
      <c r="A393" s="676">
        <f t="shared" si="38"/>
        <v>378</v>
      </c>
      <c r="B393" s="1054"/>
      <c r="C393" s="1055"/>
      <c r="D393" s="83"/>
      <c r="E393" s="954"/>
      <c r="F393" s="52"/>
      <c r="G393" s="103"/>
      <c r="H393" s="1058"/>
      <c r="I393" s="684" t="str">
        <f t="shared" si="35"/>
        <v/>
      </c>
      <c r="J393" s="685">
        <f t="shared" si="36"/>
        <v>0</v>
      </c>
      <c r="K393" s="1260"/>
      <c r="L393" s="1253"/>
      <c r="M393" s="1259"/>
      <c r="N393" s="719"/>
      <c r="O393" s="720"/>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39"/>
        <v>0</v>
      </c>
      <c r="AQ393" s="42"/>
      <c r="AR393" s="42"/>
      <c r="AS393" s="42"/>
      <c r="AT393" s="43"/>
      <c r="AU393" s="687">
        <f t="shared" si="40"/>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37"/>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1"/>
        <v>0</v>
      </c>
      <c r="DO393" s="683"/>
    </row>
    <row r="394" spans="1:119" ht="25.5" customHeight="1" thickTop="1" thickBot="1" x14ac:dyDescent="0.25">
      <c r="A394" s="676">
        <f t="shared" si="38"/>
        <v>379</v>
      </c>
      <c r="B394" s="1054"/>
      <c r="C394" s="1055"/>
      <c r="D394" s="83"/>
      <c r="E394" s="954"/>
      <c r="F394" s="52"/>
      <c r="G394" s="103"/>
      <c r="H394" s="1058"/>
      <c r="I394" s="684" t="str">
        <f t="shared" si="35"/>
        <v/>
      </c>
      <c r="J394" s="685">
        <f t="shared" si="36"/>
        <v>0</v>
      </c>
      <c r="K394" s="1260"/>
      <c r="L394" s="1253"/>
      <c r="M394" s="1259"/>
      <c r="N394" s="719"/>
      <c r="O394" s="720"/>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39"/>
        <v>0</v>
      </c>
      <c r="AQ394" s="42"/>
      <c r="AR394" s="42"/>
      <c r="AS394" s="42"/>
      <c r="AT394" s="43"/>
      <c r="AU394" s="687">
        <f t="shared" si="40"/>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37"/>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1"/>
        <v>0</v>
      </c>
      <c r="DO394" s="683"/>
    </row>
    <row r="395" spans="1:119" ht="25.5" customHeight="1" thickTop="1" thickBot="1" x14ac:dyDescent="0.25">
      <c r="A395" s="676">
        <f t="shared" si="38"/>
        <v>380</v>
      </c>
      <c r="B395" s="1054"/>
      <c r="C395" s="1055"/>
      <c r="D395" s="83"/>
      <c r="E395" s="954"/>
      <c r="F395" s="52"/>
      <c r="G395" s="103"/>
      <c r="H395" s="1058"/>
      <c r="I395" s="684" t="str">
        <f t="shared" si="35"/>
        <v/>
      </c>
      <c r="J395" s="685">
        <f t="shared" si="36"/>
        <v>0</v>
      </c>
      <c r="K395" s="1260"/>
      <c r="L395" s="1253"/>
      <c r="M395" s="1259"/>
      <c r="N395" s="719"/>
      <c r="O395" s="720"/>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39"/>
        <v>0</v>
      </c>
      <c r="AQ395" s="42"/>
      <c r="AR395" s="42"/>
      <c r="AS395" s="42"/>
      <c r="AT395" s="43"/>
      <c r="AU395" s="687">
        <f t="shared" si="40"/>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37"/>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1"/>
        <v>0</v>
      </c>
      <c r="DO395" s="683"/>
    </row>
    <row r="396" spans="1:119" ht="25.5" customHeight="1" thickTop="1" thickBot="1" x14ac:dyDescent="0.25">
      <c r="A396" s="676">
        <f t="shared" si="38"/>
        <v>381</v>
      </c>
      <c r="B396" s="1054"/>
      <c r="C396" s="1055"/>
      <c r="D396" s="83"/>
      <c r="E396" s="954"/>
      <c r="F396" s="52"/>
      <c r="G396" s="103"/>
      <c r="H396" s="1058"/>
      <c r="I396" s="684" t="str">
        <f t="shared" si="35"/>
        <v/>
      </c>
      <c r="J396" s="685">
        <f t="shared" si="36"/>
        <v>0</v>
      </c>
      <c r="K396" s="1260"/>
      <c r="L396" s="1253"/>
      <c r="M396" s="1259"/>
      <c r="N396" s="719"/>
      <c r="O396" s="720"/>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39"/>
        <v>0</v>
      </c>
      <c r="AQ396" s="42"/>
      <c r="AR396" s="42"/>
      <c r="AS396" s="42"/>
      <c r="AT396" s="43"/>
      <c r="AU396" s="687">
        <f t="shared" si="40"/>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37"/>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1"/>
        <v>0</v>
      </c>
      <c r="DO396" s="683"/>
    </row>
    <row r="397" spans="1:119" ht="25.5" customHeight="1" thickTop="1" thickBot="1" x14ac:dyDescent="0.25">
      <c r="A397" s="676">
        <f t="shared" si="38"/>
        <v>382</v>
      </c>
      <c r="B397" s="1054"/>
      <c r="C397" s="1055"/>
      <c r="D397" s="83"/>
      <c r="E397" s="954"/>
      <c r="F397" s="52"/>
      <c r="G397" s="103"/>
      <c r="H397" s="1058"/>
      <c r="I397" s="684" t="str">
        <f t="shared" si="35"/>
        <v/>
      </c>
      <c r="J397" s="685">
        <f t="shared" si="36"/>
        <v>0</v>
      </c>
      <c r="K397" s="1260"/>
      <c r="L397" s="1253"/>
      <c r="M397" s="1259"/>
      <c r="N397" s="719"/>
      <c r="O397" s="720"/>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39"/>
        <v>0</v>
      </c>
      <c r="AQ397" s="42"/>
      <c r="AR397" s="42"/>
      <c r="AS397" s="42"/>
      <c r="AT397" s="43"/>
      <c r="AU397" s="687">
        <f t="shared" si="40"/>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37"/>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1"/>
        <v>0</v>
      </c>
      <c r="DO397" s="683"/>
    </row>
    <row r="398" spans="1:119" ht="25.5" customHeight="1" thickTop="1" thickBot="1" x14ac:dyDescent="0.25">
      <c r="A398" s="676">
        <f t="shared" si="38"/>
        <v>383</v>
      </c>
      <c r="B398" s="1054"/>
      <c r="C398" s="1055"/>
      <c r="D398" s="83"/>
      <c r="E398" s="954"/>
      <c r="F398" s="52"/>
      <c r="G398" s="103"/>
      <c r="H398" s="1058"/>
      <c r="I398" s="684" t="str">
        <f t="shared" si="35"/>
        <v/>
      </c>
      <c r="J398" s="685">
        <f t="shared" si="36"/>
        <v>0</v>
      </c>
      <c r="K398" s="1260"/>
      <c r="L398" s="1253"/>
      <c r="M398" s="1259"/>
      <c r="N398" s="719"/>
      <c r="O398" s="720"/>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39"/>
        <v>0</v>
      </c>
      <c r="AQ398" s="42"/>
      <c r="AR398" s="42"/>
      <c r="AS398" s="42"/>
      <c r="AT398" s="43"/>
      <c r="AU398" s="687">
        <f t="shared" si="40"/>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37"/>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1"/>
        <v>0</v>
      </c>
      <c r="DO398" s="683"/>
    </row>
    <row r="399" spans="1:119" ht="25.5" customHeight="1" thickTop="1" thickBot="1" x14ac:dyDescent="0.25">
      <c r="A399" s="676">
        <f t="shared" si="38"/>
        <v>384</v>
      </c>
      <c r="B399" s="1054"/>
      <c r="C399" s="1055"/>
      <c r="D399" s="83"/>
      <c r="E399" s="954"/>
      <c r="F399" s="52"/>
      <c r="G399" s="103"/>
      <c r="H399" s="1058"/>
      <c r="I399" s="684" t="str">
        <f t="shared" si="35"/>
        <v/>
      </c>
      <c r="J399" s="685">
        <f t="shared" si="36"/>
        <v>0</v>
      </c>
      <c r="K399" s="1260"/>
      <c r="L399" s="1253"/>
      <c r="M399" s="1259"/>
      <c r="N399" s="719"/>
      <c r="O399" s="720"/>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39"/>
        <v>0</v>
      </c>
      <c r="AQ399" s="42"/>
      <c r="AR399" s="42"/>
      <c r="AS399" s="42"/>
      <c r="AT399" s="43"/>
      <c r="AU399" s="687">
        <f t="shared" si="40"/>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37"/>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1"/>
        <v>0</v>
      </c>
      <c r="DO399" s="683"/>
    </row>
    <row r="400" spans="1:119" ht="25.5" customHeight="1" thickTop="1" thickBot="1" x14ac:dyDescent="0.25">
      <c r="A400" s="676">
        <f t="shared" si="38"/>
        <v>385</v>
      </c>
      <c r="B400" s="1054"/>
      <c r="C400" s="1055"/>
      <c r="D400" s="83"/>
      <c r="E400" s="954"/>
      <c r="F400" s="52"/>
      <c r="G400" s="103"/>
      <c r="H400" s="1058"/>
      <c r="I400" s="684" t="str">
        <f t="shared" ref="I400:I463" si="42">LEFT(H400,4)</f>
        <v/>
      </c>
      <c r="J400" s="685">
        <f t="shared" ref="J400:J463" si="43">G400-DN400</f>
        <v>0</v>
      </c>
      <c r="K400" s="1260"/>
      <c r="L400" s="1253"/>
      <c r="M400" s="1259"/>
      <c r="N400" s="719"/>
      <c r="O400" s="720"/>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39"/>
        <v>0</v>
      </c>
      <c r="AQ400" s="42"/>
      <c r="AR400" s="42"/>
      <c r="AS400" s="42"/>
      <c r="AT400" s="43"/>
      <c r="AU400" s="687">
        <f t="shared" si="40"/>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44">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1"/>
        <v>0</v>
      </c>
      <c r="DO400" s="683"/>
    </row>
    <row r="401" spans="1:119" ht="25.5" customHeight="1" thickTop="1" thickBot="1" x14ac:dyDescent="0.25">
      <c r="A401" s="676">
        <f t="shared" ref="A401:A464" si="45">$A400+1</f>
        <v>386</v>
      </c>
      <c r="B401" s="1054"/>
      <c r="C401" s="1055"/>
      <c r="D401" s="83"/>
      <c r="E401" s="954"/>
      <c r="F401" s="52"/>
      <c r="G401" s="103"/>
      <c r="H401" s="1058"/>
      <c r="I401" s="684" t="str">
        <f t="shared" si="42"/>
        <v/>
      </c>
      <c r="J401" s="685">
        <f t="shared" si="43"/>
        <v>0</v>
      </c>
      <c r="K401" s="1260"/>
      <c r="L401" s="1253"/>
      <c r="M401" s="1259"/>
      <c r="N401" s="719"/>
      <c r="O401" s="720"/>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46">SUM(AQ401:AT401)</f>
        <v>0</v>
      </c>
      <c r="AQ401" s="42"/>
      <c r="AR401" s="42"/>
      <c r="AS401" s="42"/>
      <c r="AT401" s="43"/>
      <c r="AU401" s="687">
        <f t="shared" ref="AU401:AU464" si="47">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44"/>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48">SUM(P401:AP401,AU401,AZ401:BW401,CE401:DM401)</f>
        <v>0</v>
      </c>
      <c r="DO401" s="683"/>
    </row>
    <row r="402" spans="1:119" ht="25.5" customHeight="1" thickTop="1" thickBot="1" x14ac:dyDescent="0.25">
      <c r="A402" s="676">
        <f t="shared" si="45"/>
        <v>387</v>
      </c>
      <c r="B402" s="1054"/>
      <c r="C402" s="1055"/>
      <c r="D402" s="83"/>
      <c r="E402" s="954"/>
      <c r="F402" s="52"/>
      <c r="G402" s="103"/>
      <c r="H402" s="1058"/>
      <c r="I402" s="684" t="str">
        <f t="shared" si="42"/>
        <v/>
      </c>
      <c r="J402" s="685">
        <f t="shared" si="43"/>
        <v>0</v>
      </c>
      <c r="K402" s="1260"/>
      <c r="L402" s="1253"/>
      <c r="M402" s="1259"/>
      <c r="N402" s="719"/>
      <c r="O402" s="720"/>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46"/>
        <v>0</v>
      </c>
      <c r="AQ402" s="42"/>
      <c r="AR402" s="42"/>
      <c r="AS402" s="42"/>
      <c r="AT402" s="43"/>
      <c r="AU402" s="687">
        <f t="shared" si="47"/>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44"/>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48"/>
        <v>0</v>
      </c>
      <c r="DO402" s="683"/>
    </row>
    <row r="403" spans="1:119" ht="25.5" customHeight="1" thickTop="1" thickBot="1" x14ac:dyDescent="0.25">
      <c r="A403" s="676">
        <f t="shared" si="45"/>
        <v>388</v>
      </c>
      <c r="B403" s="1054"/>
      <c r="C403" s="1055"/>
      <c r="D403" s="83"/>
      <c r="E403" s="954"/>
      <c r="F403" s="52"/>
      <c r="G403" s="103"/>
      <c r="H403" s="1058"/>
      <c r="I403" s="684" t="str">
        <f t="shared" si="42"/>
        <v/>
      </c>
      <c r="J403" s="685">
        <f t="shared" si="43"/>
        <v>0</v>
      </c>
      <c r="K403" s="1260"/>
      <c r="L403" s="1253"/>
      <c r="M403" s="1259"/>
      <c r="N403" s="719"/>
      <c r="O403" s="720"/>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46"/>
        <v>0</v>
      </c>
      <c r="AQ403" s="42"/>
      <c r="AR403" s="42"/>
      <c r="AS403" s="42"/>
      <c r="AT403" s="43"/>
      <c r="AU403" s="687">
        <f t="shared" si="47"/>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44"/>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48"/>
        <v>0</v>
      </c>
      <c r="DO403" s="683"/>
    </row>
    <row r="404" spans="1:119" ht="25.5" customHeight="1" thickTop="1" thickBot="1" x14ac:dyDescent="0.25">
      <c r="A404" s="676">
        <f t="shared" si="45"/>
        <v>389</v>
      </c>
      <c r="B404" s="1054"/>
      <c r="C404" s="1055"/>
      <c r="D404" s="83"/>
      <c r="E404" s="954"/>
      <c r="F404" s="52"/>
      <c r="G404" s="103"/>
      <c r="H404" s="1058"/>
      <c r="I404" s="684" t="str">
        <f t="shared" si="42"/>
        <v/>
      </c>
      <c r="J404" s="685">
        <f t="shared" si="43"/>
        <v>0</v>
      </c>
      <c r="K404" s="1260"/>
      <c r="L404" s="1253"/>
      <c r="M404" s="1259"/>
      <c r="N404" s="719"/>
      <c r="O404" s="720"/>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46"/>
        <v>0</v>
      </c>
      <c r="AQ404" s="42"/>
      <c r="AR404" s="42"/>
      <c r="AS404" s="42"/>
      <c r="AT404" s="43"/>
      <c r="AU404" s="687">
        <f t="shared" si="47"/>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44"/>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48"/>
        <v>0</v>
      </c>
      <c r="DO404" s="683"/>
    </row>
    <row r="405" spans="1:119" ht="25.5" customHeight="1" thickTop="1" thickBot="1" x14ac:dyDescent="0.25">
      <c r="A405" s="676">
        <f t="shared" si="45"/>
        <v>390</v>
      </c>
      <c r="B405" s="1054"/>
      <c r="C405" s="1055"/>
      <c r="D405" s="83"/>
      <c r="E405" s="954"/>
      <c r="F405" s="52"/>
      <c r="G405" s="103"/>
      <c r="H405" s="1058"/>
      <c r="I405" s="684" t="str">
        <f t="shared" si="42"/>
        <v/>
      </c>
      <c r="J405" s="685">
        <f t="shared" si="43"/>
        <v>0</v>
      </c>
      <c r="K405" s="1260"/>
      <c r="L405" s="1253"/>
      <c r="M405" s="1259"/>
      <c r="N405" s="719"/>
      <c r="O405" s="720"/>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46"/>
        <v>0</v>
      </c>
      <c r="AQ405" s="42"/>
      <c r="AR405" s="42"/>
      <c r="AS405" s="42"/>
      <c r="AT405" s="43"/>
      <c r="AU405" s="687">
        <f t="shared" si="47"/>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44"/>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48"/>
        <v>0</v>
      </c>
      <c r="DO405" s="683"/>
    </row>
    <row r="406" spans="1:119" ht="25.5" customHeight="1" thickTop="1" thickBot="1" x14ac:dyDescent="0.25">
      <c r="A406" s="676">
        <f t="shared" si="45"/>
        <v>391</v>
      </c>
      <c r="B406" s="1054"/>
      <c r="C406" s="1055"/>
      <c r="D406" s="83"/>
      <c r="E406" s="954"/>
      <c r="F406" s="52"/>
      <c r="G406" s="103"/>
      <c r="H406" s="1058"/>
      <c r="I406" s="684" t="str">
        <f t="shared" si="42"/>
        <v/>
      </c>
      <c r="J406" s="685">
        <f t="shared" si="43"/>
        <v>0</v>
      </c>
      <c r="K406" s="1260"/>
      <c r="L406" s="1253"/>
      <c r="M406" s="1259"/>
      <c r="N406" s="719"/>
      <c r="O406" s="720"/>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46"/>
        <v>0</v>
      </c>
      <c r="AQ406" s="42"/>
      <c r="AR406" s="42"/>
      <c r="AS406" s="42"/>
      <c r="AT406" s="43"/>
      <c r="AU406" s="687">
        <f t="shared" si="47"/>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44"/>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48"/>
        <v>0</v>
      </c>
      <c r="DO406" s="683"/>
    </row>
    <row r="407" spans="1:119" ht="25.5" customHeight="1" thickTop="1" thickBot="1" x14ac:dyDescent="0.25">
      <c r="A407" s="676">
        <f t="shared" si="45"/>
        <v>392</v>
      </c>
      <c r="B407" s="1054"/>
      <c r="C407" s="1055"/>
      <c r="D407" s="83"/>
      <c r="E407" s="954"/>
      <c r="F407" s="52"/>
      <c r="G407" s="103"/>
      <c r="H407" s="1058"/>
      <c r="I407" s="684" t="str">
        <f t="shared" si="42"/>
        <v/>
      </c>
      <c r="J407" s="685">
        <f t="shared" si="43"/>
        <v>0</v>
      </c>
      <c r="K407" s="1260"/>
      <c r="L407" s="1253"/>
      <c r="M407" s="1259"/>
      <c r="N407" s="719"/>
      <c r="O407" s="720"/>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46"/>
        <v>0</v>
      </c>
      <c r="AQ407" s="42"/>
      <c r="AR407" s="42"/>
      <c r="AS407" s="42"/>
      <c r="AT407" s="43"/>
      <c r="AU407" s="687">
        <f t="shared" si="47"/>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44"/>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48"/>
        <v>0</v>
      </c>
      <c r="DO407" s="683"/>
    </row>
    <row r="408" spans="1:119" ht="25.5" customHeight="1" thickTop="1" thickBot="1" x14ac:dyDescent="0.25">
      <c r="A408" s="676">
        <f t="shared" si="45"/>
        <v>393</v>
      </c>
      <c r="B408" s="1054"/>
      <c r="C408" s="1055"/>
      <c r="D408" s="83"/>
      <c r="E408" s="954"/>
      <c r="F408" s="52"/>
      <c r="G408" s="103"/>
      <c r="H408" s="1058"/>
      <c r="I408" s="684" t="str">
        <f t="shared" si="42"/>
        <v/>
      </c>
      <c r="J408" s="685">
        <f t="shared" si="43"/>
        <v>0</v>
      </c>
      <c r="K408" s="1260"/>
      <c r="L408" s="1253"/>
      <c r="M408" s="1259"/>
      <c r="N408" s="719"/>
      <c r="O408" s="720"/>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46"/>
        <v>0</v>
      </c>
      <c r="AQ408" s="42"/>
      <c r="AR408" s="42"/>
      <c r="AS408" s="42"/>
      <c r="AT408" s="43"/>
      <c r="AU408" s="687">
        <f t="shared" si="47"/>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44"/>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48"/>
        <v>0</v>
      </c>
      <c r="DO408" s="683"/>
    </row>
    <row r="409" spans="1:119" ht="25.5" customHeight="1" thickTop="1" thickBot="1" x14ac:dyDescent="0.25">
      <c r="A409" s="676">
        <f t="shared" si="45"/>
        <v>394</v>
      </c>
      <c r="B409" s="1054"/>
      <c r="C409" s="1055"/>
      <c r="D409" s="83"/>
      <c r="E409" s="954"/>
      <c r="F409" s="52"/>
      <c r="G409" s="103"/>
      <c r="H409" s="1058"/>
      <c r="I409" s="684" t="str">
        <f t="shared" si="42"/>
        <v/>
      </c>
      <c r="J409" s="685">
        <f t="shared" si="43"/>
        <v>0</v>
      </c>
      <c r="K409" s="1260"/>
      <c r="L409" s="1253"/>
      <c r="M409" s="1259"/>
      <c r="N409" s="719"/>
      <c r="O409" s="720"/>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46"/>
        <v>0</v>
      </c>
      <c r="AQ409" s="42"/>
      <c r="AR409" s="42"/>
      <c r="AS409" s="42"/>
      <c r="AT409" s="43"/>
      <c r="AU409" s="687">
        <f t="shared" si="47"/>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44"/>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48"/>
        <v>0</v>
      </c>
      <c r="DO409" s="683"/>
    </row>
    <row r="410" spans="1:119" ht="25.5" customHeight="1" thickTop="1" thickBot="1" x14ac:dyDescent="0.25">
      <c r="A410" s="676">
        <f t="shared" si="45"/>
        <v>395</v>
      </c>
      <c r="B410" s="1054"/>
      <c r="C410" s="1055"/>
      <c r="D410" s="83"/>
      <c r="E410" s="954"/>
      <c r="F410" s="52"/>
      <c r="G410" s="103"/>
      <c r="H410" s="1058"/>
      <c r="I410" s="684" t="str">
        <f t="shared" si="42"/>
        <v/>
      </c>
      <c r="J410" s="685">
        <f t="shared" si="43"/>
        <v>0</v>
      </c>
      <c r="K410" s="1260"/>
      <c r="L410" s="1253"/>
      <c r="M410" s="1259"/>
      <c r="N410" s="719"/>
      <c r="O410" s="720"/>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46"/>
        <v>0</v>
      </c>
      <c r="AQ410" s="42"/>
      <c r="AR410" s="42"/>
      <c r="AS410" s="42"/>
      <c r="AT410" s="43"/>
      <c r="AU410" s="687">
        <f t="shared" si="47"/>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44"/>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48"/>
        <v>0</v>
      </c>
      <c r="DO410" s="683"/>
    </row>
    <row r="411" spans="1:119" ht="25.5" customHeight="1" thickTop="1" thickBot="1" x14ac:dyDescent="0.25">
      <c r="A411" s="676">
        <f t="shared" si="45"/>
        <v>396</v>
      </c>
      <c r="B411" s="1054"/>
      <c r="C411" s="1055"/>
      <c r="D411" s="83"/>
      <c r="E411" s="954"/>
      <c r="F411" s="52"/>
      <c r="G411" s="103"/>
      <c r="H411" s="1058"/>
      <c r="I411" s="684" t="str">
        <f t="shared" si="42"/>
        <v/>
      </c>
      <c r="J411" s="685">
        <f t="shared" si="43"/>
        <v>0</v>
      </c>
      <c r="K411" s="1260"/>
      <c r="L411" s="1253"/>
      <c r="M411" s="1259"/>
      <c r="N411" s="719"/>
      <c r="O411" s="720"/>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46"/>
        <v>0</v>
      </c>
      <c r="AQ411" s="42"/>
      <c r="AR411" s="42"/>
      <c r="AS411" s="42"/>
      <c r="AT411" s="43"/>
      <c r="AU411" s="687">
        <f t="shared" si="47"/>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44"/>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48"/>
        <v>0</v>
      </c>
      <c r="DO411" s="683"/>
    </row>
    <row r="412" spans="1:119" ht="25.5" customHeight="1" thickTop="1" thickBot="1" x14ac:dyDescent="0.25">
      <c r="A412" s="676">
        <f t="shared" si="45"/>
        <v>397</v>
      </c>
      <c r="B412" s="1054"/>
      <c r="C412" s="1055"/>
      <c r="D412" s="83"/>
      <c r="E412" s="954"/>
      <c r="F412" s="52"/>
      <c r="G412" s="103"/>
      <c r="H412" s="1058"/>
      <c r="I412" s="684" t="str">
        <f t="shared" si="42"/>
        <v/>
      </c>
      <c r="J412" s="685">
        <f t="shared" si="43"/>
        <v>0</v>
      </c>
      <c r="K412" s="1260"/>
      <c r="L412" s="1253"/>
      <c r="M412" s="1259"/>
      <c r="N412" s="719"/>
      <c r="O412" s="720"/>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46"/>
        <v>0</v>
      </c>
      <c r="AQ412" s="42"/>
      <c r="AR412" s="42"/>
      <c r="AS412" s="42"/>
      <c r="AT412" s="43"/>
      <c r="AU412" s="687">
        <f t="shared" si="47"/>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44"/>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48"/>
        <v>0</v>
      </c>
      <c r="DO412" s="683"/>
    </row>
    <row r="413" spans="1:119" ht="25.5" customHeight="1" thickTop="1" thickBot="1" x14ac:dyDescent="0.25">
      <c r="A413" s="676">
        <f t="shared" si="45"/>
        <v>398</v>
      </c>
      <c r="B413" s="1054"/>
      <c r="C413" s="1055"/>
      <c r="D413" s="83"/>
      <c r="E413" s="954"/>
      <c r="F413" s="52"/>
      <c r="G413" s="103"/>
      <c r="H413" s="1058"/>
      <c r="I413" s="684" t="str">
        <f t="shared" si="42"/>
        <v/>
      </c>
      <c r="J413" s="685">
        <f t="shared" si="43"/>
        <v>0</v>
      </c>
      <c r="K413" s="1260"/>
      <c r="L413" s="1253"/>
      <c r="M413" s="1259"/>
      <c r="N413" s="719"/>
      <c r="O413" s="720"/>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46"/>
        <v>0</v>
      </c>
      <c r="AQ413" s="42"/>
      <c r="AR413" s="42"/>
      <c r="AS413" s="42"/>
      <c r="AT413" s="43"/>
      <c r="AU413" s="687">
        <f t="shared" si="47"/>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44"/>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48"/>
        <v>0</v>
      </c>
      <c r="DO413" s="683"/>
    </row>
    <row r="414" spans="1:119" ht="25.5" customHeight="1" thickTop="1" thickBot="1" x14ac:dyDescent="0.25">
      <c r="A414" s="676">
        <f t="shared" si="45"/>
        <v>399</v>
      </c>
      <c r="B414" s="1054"/>
      <c r="C414" s="1055"/>
      <c r="D414" s="83"/>
      <c r="E414" s="954"/>
      <c r="F414" s="52"/>
      <c r="G414" s="103"/>
      <c r="H414" s="1058"/>
      <c r="I414" s="684" t="str">
        <f t="shared" si="42"/>
        <v/>
      </c>
      <c r="J414" s="685">
        <f t="shared" si="43"/>
        <v>0</v>
      </c>
      <c r="K414" s="1260"/>
      <c r="L414" s="1253"/>
      <c r="M414" s="1259"/>
      <c r="N414" s="719"/>
      <c r="O414" s="720"/>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46"/>
        <v>0</v>
      </c>
      <c r="AQ414" s="42"/>
      <c r="AR414" s="42"/>
      <c r="AS414" s="42"/>
      <c r="AT414" s="43"/>
      <c r="AU414" s="687">
        <f t="shared" si="47"/>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44"/>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48"/>
        <v>0</v>
      </c>
      <c r="DO414" s="683"/>
    </row>
    <row r="415" spans="1:119" ht="25.5" customHeight="1" thickTop="1" thickBot="1" x14ac:dyDescent="0.25">
      <c r="A415" s="676">
        <f t="shared" si="45"/>
        <v>400</v>
      </c>
      <c r="B415" s="1054"/>
      <c r="C415" s="1055"/>
      <c r="D415" s="83"/>
      <c r="E415" s="954"/>
      <c r="F415" s="52"/>
      <c r="G415" s="103"/>
      <c r="H415" s="1058"/>
      <c r="I415" s="684" t="str">
        <f t="shared" si="42"/>
        <v/>
      </c>
      <c r="J415" s="685">
        <f t="shared" si="43"/>
        <v>0</v>
      </c>
      <c r="K415" s="1260"/>
      <c r="L415" s="1253"/>
      <c r="M415" s="1259"/>
      <c r="N415" s="719"/>
      <c r="O415" s="720"/>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46"/>
        <v>0</v>
      </c>
      <c r="AQ415" s="42"/>
      <c r="AR415" s="42"/>
      <c r="AS415" s="42"/>
      <c r="AT415" s="43"/>
      <c r="AU415" s="687">
        <f t="shared" si="47"/>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44"/>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48"/>
        <v>0</v>
      </c>
      <c r="DO415" s="683"/>
    </row>
    <row r="416" spans="1:119" ht="25.5" customHeight="1" thickTop="1" thickBot="1" x14ac:dyDescent="0.25">
      <c r="A416" s="676">
        <f t="shared" si="45"/>
        <v>401</v>
      </c>
      <c r="B416" s="1054"/>
      <c r="C416" s="1055"/>
      <c r="D416" s="83"/>
      <c r="E416" s="954"/>
      <c r="F416" s="52"/>
      <c r="G416" s="103"/>
      <c r="H416" s="1058"/>
      <c r="I416" s="684" t="str">
        <f t="shared" si="42"/>
        <v/>
      </c>
      <c r="J416" s="685">
        <f t="shared" si="43"/>
        <v>0</v>
      </c>
      <c r="K416" s="1260"/>
      <c r="L416" s="1253"/>
      <c r="M416" s="1259"/>
      <c r="N416" s="719"/>
      <c r="O416" s="720"/>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46"/>
        <v>0</v>
      </c>
      <c r="AQ416" s="42"/>
      <c r="AR416" s="42"/>
      <c r="AS416" s="42"/>
      <c r="AT416" s="43"/>
      <c r="AU416" s="687">
        <f t="shared" si="47"/>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44"/>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48"/>
        <v>0</v>
      </c>
      <c r="DO416" s="683"/>
    </row>
    <row r="417" spans="1:119" ht="25.5" customHeight="1" thickTop="1" thickBot="1" x14ac:dyDescent="0.25">
      <c r="A417" s="676">
        <f t="shared" si="45"/>
        <v>402</v>
      </c>
      <c r="B417" s="1054"/>
      <c r="C417" s="1055"/>
      <c r="D417" s="83"/>
      <c r="E417" s="954"/>
      <c r="F417" s="52"/>
      <c r="G417" s="103"/>
      <c r="H417" s="1058"/>
      <c r="I417" s="684" t="str">
        <f t="shared" si="42"/>
        <v/>
      </c>
      <c r="J417" s="685">
        <f t="shared" si="43"/>
        <v>0</v>
      </c>
      <c r="K417" s="1260"/>
      <c r="L417" s="1253"/>
      <c r="M417" s="1259"/>
      <c r="N417" s="719"/>
      <c r="O417" s="720"/>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46"/>
        <v>0</v>
      </c>
      <c r="AQ417" s="42"/>
      <c r="AR417" s="42"/>
      <c r="AS417" s="42"/>
      <c r="AT417" s="43"/>
      <c r="AU417" s="687">
        <f t="shared" si="47"/>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44"/>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48"/>
        <v>0</v>
      </c>
      <c r="DO417" s="683"/>
    </row>
    <row r="418" spans="1:119" ht="25.5" customHeight="1" thickTop="1" thickBot="1" x14ac:dyDescent="0.25">
      <c r="A418" s="676">
        <f t="shared" si="45"/>
        <v>403</v>
      </c>
      <c r="B418" s="1054"/>
      <c r="C418" s="1055"/>
      <c r="D418" s="83"/>
      <c r="E418" s="954"/>
      <c r="F418" s="52"/>
      <c r="G418" s="103"/>
      <c r="H418" s="1058"/>
      <c r="I418" s="684" t="str">
        <f t="shared" si="42"/>
        <v/>
      </c>
      <c r="J418" s="685">
        <f t="shared" si="43"/>
        <v>0</v>
      </c>
      <c r="K418" s="1260"/>
      <c r="L418" s="1253"/>
      <c r="M418" s="1259"/>
      <c r="N418" s="719"/>
      <c r="O418" s="720"/>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46"/>
        <v>0</v>
      </c>
      <c r="AQ418" s="42"/>
      <c r="AR418" s="42"/>
      <c r="AS418" s="42"/>
      <c r="AT418" s="43"/>
      <c r="AU418" s="687">
        <f t="shared" si="47"/>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44"/>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48"/>
        <v>0</v>
      </c>
      <c r="DO418" s="683"/>
    </row>
    <row r="419" spans="1:119" ht="25.5" customHeight="1" thickTop="1" thickBot="1" x14ac:dyDescent="0.25">
      <c r="A419" s="676">
        <f t="shared" si="45"/>
        <v>404</v>
      </c>
      <c r="B419" s="1054"/>
      <c r="C419" s="1055"/>
      <c r="D419" s="83"/>
      <c r="E419" s="954"/>
      <c r="F419" s="52"/>
      <c r="G419" s="103"/>
      <c r="H419" s="1058"/>
      <c r="I419" s="684" t="str">
        <f t="shared" si="42"/>
        <v/>
      </c>
      <c r="J419" s="685">
        <f t="shared" si="43"/>
        <v>0</v>
      </c>
      <c r="K419" s="1260"/>
      <c r="L419" s="1253"/>
      <c r="M419" s="1259"/>
      <c r="N419" s="719"/>
      <c r="O419" s="720"/>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46"/>
        <v>0</v>
      </c>
      <c r="AQ419" s="42"/>
      <c r="AR419" s="42"/>
      <c r="AS419" s="42"/>
      <c r="AT419" s="43"/>
      <c r="AU419" s="687">
        <f t="shared" si="47"/>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44"/>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48"/>
        <v>0</v>
      </c>
      <c r="DO419" s="683"/>
    </row>
    <row r="420" spans="1:119" ht="25.5" customHeight="1" thickTop="1" thickBot="1" x14ac:dyDescent="0.25">
      <c r="A420" s="676">
        <f t="shared" si="45"/>
        <v>405</v>
      </c>
      <c r="B420" s="1054"/>
      <c r="C420" s="1055"/>
      <c r="D420" s="83"/>
      <c r="E420" s="954"/>
      <c r="F420" s="52"/>
      <c r="G420" s="103"/>
      <c r="H420" s="1058"/>
      <c r="I420" s="684" t="str">
        <f t="shared" si="42"/>
        <v/>
      </c>
      <c r="J420" s="685">
        <f t="shared" si="43"/>
        <v>0</v>
      </c>
      <c r="K420" s="1260"/>
      <c r="L420" s="1253"/>
      <c r="M420" s="1259"/>
      <c r="N420" s="719"/>
      <c r="O420" s="720"/>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46"/>
        <v>0</v>
      </c>
      <c r="AQ420" s="42"/>
      <c r="AR420" s="42"/>
      <c r="AS420" s="42"/>
      <c r="AT420" s="43"/>
      <c r="AU420" s="687">
        <f t="shared" si="47"/>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44"/>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48"/>
        <v>0</v>
      </c>
      <c r="DO420" s="683"/>
    </row>
    <row r="421" spans="1:119" ht="25.5" customHeight="1" thickTop="1" thickBot="1" x14ac:dyDescent="0.25">
      <c r="A421" s="676">
        <f t="shared" si="45"/>
        <v>406</v>
      </c>
      <c r="B421" s="1054"/>
      <c r="C421" s="1055"/>
      <c r="D421" s="83"/>
      <c r="E421" s="954"/>
      <c r="F421" s="52"/>
      <c r="G421" s="103"/>
      <c r="H421" s="1058"/>
      <c r="I421" s="684" t="str">
        <f t="shared" si="42"/>
        <v/>
      </c>
      <c r="J421" s="685">
        <f t="shared" si="43"/>
        <v>0</v>
      </c>
      <c r="K421" s="1260"/>
      <c r="L421" s="1253"/>
      <c r="M421" s="1259"/>
      <c r="N421" s="719"/>
      <c r="O421" s="720"/>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46"/>
        <v>0</v>
      </c>
      <c r="AQ421" s="42"/>
      <c r="AR421" s="42"/>
      <c r="AS421" s="42"/>
      <c r="AT421" s="43"/>
      <c r="AU421" s="687">
        <f t="shared" si="47"/>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44"/>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48"/>
        <v>0</v>
      </c>
      <c r="DO421" s="683"/>
    </row>
    <row r="422" spans="1:119" ht="25.5" customHeight="1" thickTop="1" thickBot="1" x14ac:dyDescent="0.25">
      <c r="A422" s="676">
        <f t="shared" si="45"/>
        <v>407</v>
      </c>
      <c r="B422" s="1054"/>
      <c r="C422" s="1055"/>
      <c r="D422" s="83"/>
      <c r="E422" s="954"/>
      <c r="F422" s="52"/>
      <c r="G422" s="103"/>
      <c r="H422" s="1058"/>
      <c r="I422" s="684" t="str">
        <f t="shared" si="42"/>
        <v/>
      </c>
      <c r="J422" s="685">
        <f t="shared" si="43"/>
        <v>0</v>
      </c>
      <c r="K422" s="1260"/>
      <c r="L422" s="1253"/>
      <c r="M422" s="1259"/>
      <c r="N422" s="719"/>
      <c r="O422" s="720"/>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46"/>
        <v>0</v>
      </c>
      <c r="AQ422" s="42"/>
      <c r="AR422" s="42"/>
      <c r="AS422" s="42"/>
      <c r="AT422" s="43"/>
      <c r="AU422" s="687">
        <f t="shared" si="47"/>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44"/>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48"/>
        <v>0</v>
      </c>
      <c r="DO422" s="683"/>
    </row>
    <row r="423" spans="1:119" ht="25.5" customHeight="1" thickTop="1" thickBot="1" x14ac:dyDescent="0.25">
      <c r="A423" s="676">
        <f t="shared" si="45"/>
        <v>408</v>
      </c>
      <c r="B423" s="1054"/>
      <c r="C423" s="1055"/>
      <c r="D423" s="83"/>
      <c r="E423" s="954"/>
      <c r="F423" s="52"/>
      <c r="G423" s="103"/>
      <c r="H423" s="1058"/>
      <c r="I423" s="684" t="str">
        <f t="shared" si="42"/>
        <v/>
      </c>
      <c r="J423" s="685">
        <f t="shared" si="43"/>
        <v>0</v>
      </c>
      <c r="K423" s="1260"/>
      <c r="L423" s="1253"/>
      <c r="M423" s="1259"/>
      <c r="N423" s="719"/>
      <c r="O423" s="720"/>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46"/>
        <v>0</v>
      </c>
      <c r="AQ423" s="42"/>
      <c r="AR423" s="42"/>
      <c r="AS423" s="42"/>
      <c r="AT423" s="43"/>
      <c r="AU423" s="687">
        <f t="shared" si="47"/>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44"/>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48"/>
        <v>0</v>
      </c>
      <c r="DO423" s="683"/>
    </row>
    <row r="424" spans="1:119" ht="25.5" customHeight="1" thickTop="1" thickBot="1" x14ac:dyDescent="0.25">
      <c r="A424" s="676">
        <f t="shared" si="45"/>
        <v>409</v>
      </c>
      <c r="B424" s="1054"/>
      <c r="C424" s="1055"/>
      <c r="D424" s="83"/>
      <c r="E424" s="954"/>
      <c r="F424" s="52"/>
      <c r="G424" s="103"/>
      <c r="H424" s="1058"/>
      <c r="I424" s="684" t="str">
        <f t="shared" si="42"/>
        <v/>
      </c>
      <c r="J424" s="685">
        <f t="shared" si="43"/>
        <v>0</v>
      </c>
      <c r="K424" s="1260"/>
      <c r="L424" s="1253"/>
      <c r="M424" s="1259"/>
      <c r="N424" s="719"/>
      <c r="O424" s="720"/>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46"/>
        <v>0</v>
      </c>
      <c r="AQ424" s="42"/>
      <c r="AR424" s="42"/>
      <c r="AS424" s="42"/>
      <c r="AT424" s="43"/>
      <c r="AU424" s="687">
        <f t="shared" si="47"/>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44"/>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48"/>
        <v>0</v>
      </c>
      <c r="DO424" s="683"/>
    </row>
    <row r="425" spans="1:119" ht="25.5" customHeight="1" thickTop="1" thickBot="1" x14ac:dyDescent="0.25">
      <c r="A425" s="676">
        <f t="shared" si="45"/>
        <v>410</v>
      </c>
      <c r="B425" s="1054"/>
      <c r="C425" s="1055"/>
      <c r="D425" s="83"/>
      <c r="E425" s="954"/>
      <c r="F425" s="52"/>
      <c r="G425" s="103"/>
      <c r="H425" s="1058"/>
      <c r="I425" s="684" t="str">
        <f t="shared" si="42"/>
        <v/>
      </c>
      <c r="J425" s="685">
        <f t="shared" si="43"/>
        <v>0</v>
      </c>
      <c r="K425" s="1260"/>
      <c r="L425" s="1253"/>
      <c r="M425" s="1259"/>
      <c r="N425" s="719"/>
      <c r="O425" s="720"/>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46"/>
        <v>0</v>
      </c>
      <c r="AQ425" s="42"/>
      <c r="AR425" s="42"/>
      <c r="AS425" s="42"/>
      <c r="AT425" s="43"/>
      <c r="AU425" s="687">
        <f t="shared" si="47"/>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44"/>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48"/>
        <v>0</v>
      </c>
      <c r="DO425" s="683"/>
    </row>
    <row r="426" spans="1:119" ht="25.5" customHeight="1" thickTop="1" thickBot="1" x14ac:dyDescent="0.25">
      <c r="A426" s="676">
        <f t="shared" si="45"/>
        <v>411</v>
      </c>
      <c r="B426" s="1054"/>
      <c r="C426" s="1055"/>
      <c r="D426" s="83"/>
      <c r="E426" s="954"/>
      <c r="F426" s="52"/>
      <c r="G426" s="103"/>
      <c r="H426" s="1058"/>
      <c r="I426" s="684" t="str">
        <f t="shared" si="42"/>
        <v/>
      </c>
      <c r="J426" s="685">
        <f t="shared" si="43"/>
        <v>0</v>
      </c>
      <c r="K426" s="1260"/>
      <c r="L426" s="1253"/>
      <c r="M426" s="1259"/>
      <c r="N426" s="719"/>
      <c r="O426" s="720"/>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46"/>
        <v>0</v>
      </c>
      <c r="AQ426" s="42"/>
      <c r="AR426" s="42"/>
      <c r="AS426" s="42"/>
      <c r="AT426" s="43"/>
      <c r="AU426" s="687">
        <f t="shared" si="47"/>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44"/>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48"/>
        <v>0</v>
      </c>
      <c r="DO426" s="683"/>
    </row>
    <row r="427" spans="1:119" ht="25.5" customHeight="1" thickTop="1" thickBot="1" x14ac:dyDescent="0.25">
      <c r="A427" s="676">
        <f t="shared" si="45"/>
        <v>412</v>
      </c>
      <c r="B427" s="1054"/>
      <c r="C427" s="1055"/>
      <c r="D427" s="83"/>
      <c r="E427" s="954"/>
      <c r="F427" s="52"/>
      <c r="G427" s="103"/>
      <c r="H427" s="1058"/>
      <c r="I427" s="684" t="str">
        <f t="shared" si="42"/>
        <v/>
      </c>
      <c r="J427" s="685">
        <f t="shared" si="43"/>
        <v>0</v>
      </c>
      <c r="K427" s="1260"/>
      <c r="L427" s="1253"/>
      <c r="M427" s="1259"/>
      <c r="N427" s="719"/>
      <c r="O427" s="720"/>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46"/>
        <v>0</v>
      </c>
      <c r="AQ427" s="42"/>
      <c r="AR427" s="42"/>
      <c r="AS427" s="42"/>
      <c r="AT427" s="43"/>
      <c r="AU427" s="687">
        <f t="shared" si="47"/>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44"/>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48"/>
        <v>0</v>
      </c>
      <c r="DO427" s="683"/>
    </row>
    <row r="428" spans="1:119" ht="25.5" customHeight="1" thickTop="1" thickBot="1" x14ac:dyDescent="0.25">
      <c r="A428" s="676">
        <f t="shared" si="45"/>
        <v>413</v>
      </c>
      <c r="B428" s="1054"/>
      <c r="C428" s="1055"/>
      <c r="D428" s="83"/>
      <c r="E428" s="954"/>
      <c r="F428" s="52"/>
      <c r="G428" s="103"/>
      <c r="H428" s="1058"/>
      <c r="I428" s="684" t="str">
        <f t="shared" si="42"/>
        <v/>
      </c>
      <c r="J428" s="685">
        <f t="shared" si="43"/>
        <v>0</v>
      </c>
      <c r="K428" s="1260"/>
      <c r="L428" s="1253"/>
      <c r="M428" s="1259"/>
      <c r="N428" s="719"/>
      <c r="O428" s="720"/>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46"/>
        <v>0</v>
      </c>
      <c r="AQ428" s="42"/>
      <c r="AR428" s="42"/>
      <c r="AS428" s="42"/>
      <c r="AT428" s="43"/>
      <c r="AU428" s="687">
        <f t="shared" si="47"/>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44"/>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48"/>
        <v>0</v>
      </c>
      <c r="DO428" s="683"/>
    </row>
    <row r="429" spans="1:119" ht="25.5" customHeight="1" thickTop="1" thickBot="1" x14ac:dyDescent="0.25">
      <c r="A429" s="676">
        <f t="shared" si="45"/>
        <v>414</v>
      </c>
      <c r="B429" s="1054"/>
      <c r="C429" s="1055"/>
      <c r="D429" s="83"/>
      <c r="E429" s="954"/>
      <c r="F429" s="52"/>
      <c r="G429" s="103"/>
      <c r="H429" s="1058"/>
      <c r="I429" s="684" t="str">
        <f t="shared" si="42"/>
        <v/>
      </c>
      <c r="J429" s="685">
        <f t="shared" si="43"/>
        <v>0</v>
      </c>
      <c r="K429" s="1260"/>
      <c r="L429" s="1253"/>
      <c r="M429" s="1259"/>
      <c r="N429" s="719"/>
      <c r="O429" s="720"/>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46"/>
        <v>0</v>
      </c>
      <c r="AQ429" s="42"/>
      <c r="AR429" s="42"/>
      <c r="AS429" s="42"/>
      <c r="AT429" s="43"/>
      <c r="AU429" s="687">
        <f t="shared" si="47"/>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44"/>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48"/>
        <v>0</v>
      </c>
      <c r="DO429" s="683"/>
    </row>
    <row r="430" spans="1:119" ht="25.5" customHeight="1" thickTop="1" thickBot="1" x14ac:dyDescent="0.25">
      <c r="A430" s="676">
        <f t="shared" si="45"/>
        <v>415</v>
      </c>
      <c r="B430" s="1054"/>
      <c r="C430" s="1055"/>
      <c r="D430" s="83"/>
      <c r="E430" s="954"/>
      <c r="F430" s="52"/>
      <c r="G430" s="103"/>
      <c r="H430" s="1058"/>
      <c r="I430" s="684" t="str">
        <f t="shared" si="42"/>
        <v/>
      </c>
      <c r="J430" s="685">
        <f t="shared" si="43"/>
        <v>0</v>
      </c>
      <c r="K430" s="1260"/>
      <c r="L430" s="1253"/>
      <c r="M430" s="1259"/>
      <c r="N430" s="719"/>
      <c r="O430" s="720"/>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46"/>
        <v>0</v>
      </c>
      <c r="AQ430" s="42"/>
      <c r="AR430" s="42"/>
      <c r="AS430" s="42"/>
      <c r="AT430" s="43"/>
      <c r="AU430" s="687">
        <f t="shared" si="47"/>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44"/>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48"/>
        <v>0</v>
      </c>
      <c r="DO430" s="683"/>
    </row>
    <row r="431" spans="1:119" ht="25.5" customHeight="1" thickTop="1" thickBot="1" x14ac:dyDescent="0.25">
      <c r="A431" s="676">
        <f t="shared" si="45"/>
        <v>416</v>
      </c>
      <c r="B431" s="1054"/>
      <c r="C431" s="1055"/>
      <c r="D431" s="83"/>
      <c r="E431" s="954"/>
      <c r="F431" s="52"/>
      <c r="G431" s="103"/>
      <c r="H431" s="1058"/>
      <c r="I431" s="684" t="str">
        <f t="shared" si="42"/>
        <v/>
      </c>
      <c r="J431" s="685">
        <f t="shared" si="43"/>
        <v>0</v>
      </c>
      <c r="K431" s="1260"/>
      <c r="L431" s="1253"/>
      <c r="M431" s="1259"/>
      <c r="N431" s="719"/>
      <c r="O431" s="720"/>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46"/>
        <v>0</v>
      </c>
      <c r="AQ431" s="42"/>
      <c r="AR431" s="42"/>
      <c r="AS431" s="42"/>
      <c r="AT431" s="43"/>
      <c r="AU431" s="687">
        <f t="shared" si="47"/>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44"/>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48"/>
        <v>0</v>
      </c>
      <c r="DO431" s="683"/>
    </row>
    <row r="432" spans="1:119" ht="25.5" customHeight="1" thickTop="1" thickBot="1" x14ac:dyDescent="0.25">
      <c r="A432" s="676">
        <f t="shared" si="45"/>
        <v>417</v>
      </c>
      <c r="B432" s="1054"/>
      <c r="C432" s="1055"/>
      <c r="D432" s="83"/>
      <c r="E432" s="954"/>
      <c r="F432" s="52"/>
      <c r="G432" s="103"/>
      <c r="H432" s="1058"/>
      <c r="I432" s="684" t="str">
        <f t="shared" si="42"/>
        <v/>
      </c>
      <c r="J432" s="685">
        <f t="shared" si="43"/>
        <v>0</v>
      </c>
      <c r="K432" s="1260"/>
      <c r="L432" s="1253"/>
      <c r="M432" s="1259"/>
      <c r="N432" s="719"/>
      <c r="O432" s="720"/>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46"/>
        <v>0</v>
      </c>
      <c r="AQ432" s="42"/>
      <c r="AR432" s="42"/>
      <c r="AS432" s="42"/>
      <c r="AT432" s="43"/>
      <c r="AU432" s="687">
        <f t="shared" si="47"/>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44"/>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48"/>
        <v>0</v>
      </c>
      <c r="DO432" s="683"/>
    </row>
    <row r="433" spans="1:119" ht="25.5" customHeight="1" thickTop="1" thickBot="1" x14ac:dyDescent="0.25">
      <c r="A433" s="676">
        <f t="shared" si="45"/>
        <v>418</v>
      </c>
      <c r="B433" s="1054"/>
      <c r="C433" s="1055"/>
      <c r="D433" s="83"/>
      <c r="E433" s="954"/>
      <c r="F433" s="52"/>
      <c r="G433" s="103"/>
      <c r="H433" s="1058"/>
      <c r="I433" s="684" t="str">
        <f t="shared" si="42"/>
        <v/>
      </c>
      <c r="J433" s="685">
        <f t="shared" si="43"/>
        <v>0</v>
      </c>
      <c r="K433" s="1260"/>
      <c r="L433" s="1253"/>
      <c r="M433" s="1259"/>
      <c r="N433" s="719"/>
      <c r="O433" s="720"/>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46"/>
        <v>0</v>
      </c>
      <c r="AQ433" s="42"/>
      <c r="AR433" s="42"/>
      <c r="AS433" s="42"/>
      <c r="AT433" s="43"/>
      <c r="AU433" s="687">
        <f t="shared" si="47"/>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44"/>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48"/>
        <v>0</v>
      </c>
      <c r="DO433" s="683"/>
    </row>
    <row r="434" spans="1:119" ht="25.5" customHeight="1" thickTop="1" thickBot="1" x14ac:dyDescent="0.25">
      <c r="A434" s="676">
        <f t="shared" si="45"/>
        <v>419</v>
      </c>
      <c r="B434" s="1054"/>
      <c r="C434" s="1055"/>
      <c r="D434" s="83"/>
      <c r="E434" s="954"/>
      <c r="F434" s="52"/>
      <c r="G434" s="103"/>
      <c r="H434" s="1058"/>
      <c r="I434" s="684" t="str">
        <f t="shared" si="42"/>
        <v/>
      </c>
      <c r="J434" s="685">
        <f t="shared" si="43"/>
        <v>0</v>
      </c>
      <c r="K434" s="1260"/>
      <c r="L434" s="1253"/>
      <c r="M434" s="1259"/>
      <c r="N434" s="719"/>
      <c r="O434" s="720"/>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46"/>
        <v>0</v>
      </c>
      <c r="AQ434" s="42"/>
      <c r="AR434" s="42"/>
      <c r="AS434" s="42"/>
      <c r="AT434" s="43"/>
      <c r="AU434" s="687">
        <f t="shared" si="47"/>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44"/>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48"/>
        <v>0</v>
      </c>
      <c r="DO434" s="683"/>
    </row>
    <row r="435" spans="1:119" ht="25.5" customHeight="1" thickTop="1" thickBot="1" x14ac:dyDescent="0.25">
      <c r="A435" s="676">
        <f t="shared" si="45"/>
        <v>420</v>
      </c>
      <c r="B435" s="1054"/>
      <c r="C435" s="1055"/>
      <c r="D435" s="83"/>
      <c r="E435" s="954"/>
      <c r="F435" s="52"/>
      <c r="G435" s="103"/>
      <c r="H435" s="1058"/>
      <c r="I435" s="684" t="str">
        <f t="shared" si="42"/>
        <v/>
      </c>
      <c r="J435" s="685">
        <f t="shared" si="43"/>
        <v>0</v>
      </c>
      <c r="K435" s="1260"/>
      <c r="L435" s="1253"/>
      <c r="M435" s="1259"/>
      <c r="N435" s="719"/>
      <c r="O435" s="720"/>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46"/>
        <v>0</v>
      </c>
      <c r="AQ435" s="42"/>
      <c r="AR435" s="42"/>
      <c r="AS435" s="42"/>
      <c r="AT435" s="43"/>
      <c r="AU435" s="687">
        <f t="shared" si="47"/>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44"/>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48"/>
        <v>0</v>
      </c>
      <c r="DO435" s="683"/>
    </row>
    <row r="436" spans="1:119" ht="25.5" customHeight="1" thickTop="1" thickBot="1" x14ac:dyDescent="0.25">
      <c r="A436" s="676">
        <f t="shared" si="45"/>
        <v>421</v>
      </c>
      <c r="B436" s="1054"/>
      <c r="C436" s="1055"/>
      <c r="D436" s="83"/>
      <c r="E436" s="954"/>
      <c r="F436" s="52"/>
      <c r="G436" s="103"/>
      <c r="H436" s="1058"/>
      <c r="I436" s="684" t="str">
        <f t="shared" si="42"/>
        <v/>
      </c>
      <c r="J436" s="685">
        <f t="shared" si="43"/>
        <v>0</v>
      </c>
      <c r="K436" s="1260"/>
      <c r="L436" s="1253"/>
      <c r="M436" s="1259"/>
      <c r="N436" s="719"/>
      <c r="O436" s="720"/>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46"/>
        <v>0</v>
      </c>
      <c r="AQ436" s="42"/>
      <c r="AR436" s="42"/>
      <c r="AS436" s="42"/>
      <c r="AT436" s="43"/>
      <c r="AU436" s="687">
        <f t="shared" si="47"/>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44"/>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48"/>
        <v>0</v>
      </c>
      <c r="DO436" s="683"/>
    </row>
    <row r="437" spans="1:119" ht="25.5" customHeight="1" thickTop="1" thickBot="1" x14ac:dyDescent="0.25">
      <c r="A437" s="676">
        <f t="shared" si="45"/>
        <v>422</v>
      </c>
      <c r="B437" s="1054"/>
      <c r="C437" s="1055"/>
      <c r="D437" s="83"/>
      <c r="E437" s="954"/>
      <c r="F437" s="52"/>
      <c r="G437" s="103"/>
      <c r="H437" s="1058"/>
      <c r="I437" s="684" t="str">
        <f t="shared" si="42"/>
        <v/>
      </c>
      <c r="J437" s="685">
        <f t="shared" si="43"/>
        <v>0</v>
      </c>
      <c r="K437" s="1260"/>
      <c r="L437" s="1253"/>
      <c r="M437" s="1259"/>
      <c r="N437" s="719"/>
      <c r="O437" s="720"/>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46"/>
        <v>0</v>
      </c>
      <c r="AQ437" s="42"/>
      <c r="AR437" s="42"/>
      <c r="AS437" s="42"/>
      <c r="AT437" s="43"/>
      <c r="AU437" s="687">
        <f t="shared" si="47"/>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44"/>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48"/>
        <v>0</v>
      </c>
      <c r="DO437" s="683"/>
    </row>
    <row r="438" spans="1:119" ht="25.5" customHeight="1" thickTop="1" thickBot="1" x14ac:dyDescent="0.25">
      <c r="A438" s="676">
        <f t="shared" si="45"/>
        <v>423</v>
      </c>
      <c r="B438" s="1054"/>
      <c r="C438" s="1055"/>
      <c r="D438" s="83"/>
      <c r="E438" s="954"/>
      <c r="F438" s="52"/>
      <c r="G438" s="103"/>
      <c r="H438" s="1058"/>
      <c r="I438" s="684" t="str">
        <f t="shared" si="42"/>
        <v/>
      </c>
      <c r="J438" s="685">
        <f t="shared" si="43"/>
        <v>0</v>
      </c>
      <c r="K438" s="1260"/>
      <c r="L438" s="1253"/>
      <c r="M438" s="1259"/>
      <c r="N438" s="719"/>
      <c r="O438" s="720"/>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46"/>
        <v>0</v>
      </c>
      <c r="AQ438" s="42"/>
      <c r="AR438" s="42"/>
      <c r="AS438" s="42"/>
      <c r="AT438" s="43"/>
      <c r="AU438" s="687">
        <f t="shared" si="47"/>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44"/>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48"/>
        <v>0</v>
      </c>
      <c r="DO438" s="683"/>
    </row>
    <row r="439" spans="1:119" ht="25.5" customHeight="1" thickTop="1" thickBot="1" x14ac:dyDescent="0.25">
      <c r="A439" s="676">
        <f t="shared" si="45"/>
        <v>424</v>
      </c>
      <c r="B439" s="1054"/>
      <c r="C439" s="1055"/>
      <c r="D439" s="83"/>
      <c r="E439" s="954"/>
      <c r="F439" s="52"/>
      <c r="G439" s="103"/>
      <c r="H439" s="1058"/>
      <c r="I439" s="684" t="str">
        <f t="shared" si="42"/>
        <v/>
      </c>
      <c r="J439" s="685">
        <f t="shared" si="43"/>
        <v>0</v>
      </c>
      <c r="K439" s="1260"/>
      <c r="L439" s="1253"/>
      <c r="M439" s="1259"/>
      <c r="N439" s="719"/>
      <c r="O439" s="720"/>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46"/>
        <v>0</v>
      </c>
      <c r="AQ439" s="42"/>
      <c r="AR439" s="42"/>
      <c r="AS439" s="42"/>
      <c r="AT439" s="43"/>
      <c r="AU439" s="687">
        <f t="shared" si="47"/>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44"/>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48"/>
        <v>0</v>
      </c>
      <c r="DO439" s="683"/>
    </row>
    <row r="440" spans="1:119" ht="25.5" customHeight="1" thickTop="1" thickBot="1" x14ac:dyDescent="0.25">
      <c r="A440" s="676">
        <f t="shared" si="45"/>
        <v>425</v>
      </c>
      <c r="B440" s="1054"/>
      <c r="C440" s="1055"/>
      <c r="D440" s="83"/>
      <c r="E440" s="954"/>
      <c r="F440" s="52"/>
      <c r="G440" s="103"/>
      <c r="H440" s="1058"/>
      <c r="I440" s="684" t="str">
        <f t="shared" si="42"/>
        <v/>
      </c>
      <c r="J440" s="685">
        <f t="shared" si="43"/>
        <v>0</v>
      </c>
      <c r="K440" s="1260"/>
      <c r="L440" s="1253"/>
      <c r="M440" s="1259"/>
      <c r="N440" s="719"/>
      <c r="O440" s="720"/>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46"/>
        <v>0</v>
      </c>
      <c r="AQ440" s="42"/>
      <c r="AR440" s="42"/>
      <c r="AS440" s="42"/>
      <c r="AT440" s="43"/>
      <c r="AU440" s="687">
        <f t="shared" si="47"/>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44"/>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48"/>
        <v>0</v>
      </c>
      <c r="DO440" s="683"/>
    </row>
    <row r="441" spans="1:119" ht="25.5" customHeight="1" thickTop="1" thickBot="1" x14ac:dyDescent="0.25">
      <c r="A441" s="676">
        <f t="shared" si="45"/>
        <v>426</v>
      </c>
      <c r="B441" s="1054"/>
      <c r="C441" s="1055"/>
      <c r="D441" s="83"/>
      <c r="E441" s="954"/>
      <c r="F441" s="52"/>
      <c r="G441" s="103"/>
      <c r="H441" s="1058"/>
      <c r="I441" s="684" t="str">
        <f t="shared" si="42"/>
        <v/>
      </c>
      <c r="J441" s="685">
        <f t="shared" si="43"/>
        <v>0</v>
      </c>
      <c r="K441" s="1260"/>
      <c r="L441" s="1253"/>
      <c r="M441" s="1259"/>
      <c r="N441" s="719"/>
      <c r="O441" s="720"/>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46"/>
        <v>0</v>
      </c>
      <c r="AQ441" s="42"/>
      <c r="AR441" s="42"/>
      <c r="AS441" s="42"/>
      <c r="AT441" s="43"/>
      <c r="AU441" s="687">
        <f t="shared" si="47"/>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44"/>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48"/>
        <v>0</v>
      </c>
      <c r="DO441" s="683"/>
    </row>
    <row r="442" spans="1:119" ht="25.5" customHeight="1" thickTop="1" thickBot="1" x14ac:dyDescent="0.25">
      <c r="A442" s="676">
        <f t="shared" si="45"/>
        <v>427</v>
      </c>
      <c r="B442" s="1054"/>
      <c r="C442" s="1055"/>
      <c r="D442" s="83"/>
      <c r="E442" s="954"/>
      <c r="F442" s="52"/>
      <c r="G442" s="103"/>
      <c r="H442" s="1058"/>
      <c r="I442" s="684" t="str">
        <f t="shared" si="42"/>
        <v/>
      </c>
      <c r="J442" s="685">
        <f t="shared" si="43"/>
        <v>0</v>
      </c>
      <c r="K442" s="1260"/>
      <c r="L442" s="1253"/>
      <c r="M442" s="1259"/>
      <c r="N442" s="719"/>
      <c r="O442" s="720"/>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46"/>
        <v>0</v>
      </c>
      <c r="AQ442" s="42"/>
      <c r="AR442" s="42"/>
      <c r="AS442" s="42"/>
      <c r="AT442" s="43"/>
      <c r="AU442" s="687">
        <f t="shared" si="47"/>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44"/>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48"/>
        <v>0</v>
      </c>
      <c r="DO442" s="683"/>
    </row>
    <row r="443" spans="1:119" ht="25.5" customHeight="1" thickTop="1" thickBot="1" x14ac:dyDescent="0.25">
      <c r="A443" s="676">
        <f t="shared" si="45"/>
        <v>428</v>
      </c>
      <c r="B443" s="1054"/>
      <c r="C443" s="1055"/>
      <c r="D443" s="83"/>
      <c r="E443" s="954"/>
      <c r="F443" s="52"/>
      <c r="G443" s="103"/>
      <c r="H443" s="1058"/>
      <c r="I443" s="684" t="str">
        <f t="shared" si="42"/>
        <v/>
      </c>
      <c r="J443" s="685">
        <f t="shared" si="43"/>
        <v>0</v>
      </c>
      <c r="K443" s="1260"/>
      <c r="L443" s="1253"/>
      <c r="M443" s="1259"/>
      <c r="N443" s="719"/>
      <c r="O443" s="720"/>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46"/>
        <v>0</v>
      </c>
      <c r="AQ443" s="42"/>
      <c r="AR443" s="42"/>
      <c r="AS443" s="42"/>
      <c r="AT443" s="43"/>
      <c r="AU443" s="687">
        <f t="shared" si="47"/>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44"/>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48"/>
        <v>0</v>
      </c>
      <c r="DO443" s="683"/>
    </row>
    <row r="444" spans="1:119" ht="25.5" customHeight="1" thickTop="1" thickBot="1" x14ac:dyDescent="0.25">
      <c r="A444" s="676">
        <f t="shared" si="45"/>
        <v>429</v>
      </c>
      <c r="B444" s="1054"/>
      <c r="C444" s="1055"/>
      <c r="D444" s="83"/>
      <c r="E444" s="954"/>
      <c r="F444" s="52"/>
      <c r="G444" s="103"/>
      <c r="H444" s="1058"/>
      <c r="I444" s="684" t="str">
        <f t="shared" si="42"/>
        <v/>
      </c>
      <c r="J444" s="685">
        <f t="shared" si="43"/>
        <v>0</v>
      </c>
      <c r="K444" s="1260"/>
      <c r="L444" s="1253"/>
      <c r="M444" s="1259"/>
      <c r="N444" s="719"/>
      <c r="O444" s="720"/>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46"/>
        <v>0</v>
      </c>
      <c r="AQ444" s="42"/>
      <c r="AR444" s="42"/>
      <c r="AS444" s="42"/>
      <c r="AT444" s="43"/>
      <c r="AU444" s="687">
        <f t="shared" si="47"/>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44"/>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48"/>
        <v>0</v>
      </c>
      <c r="DO444" s="683"/>
    </row>
    <row r="445" spans="1:119" ht="25.5" customHeight="1" thickTop="1" thickBot="1" x14ac:dyDescent="0.25">
      <c r="A445" s="676">
        <f t="shared" si="45"/>
        <v>430</v>
      </c>
      <c r="B445" s="1054"/>
      <c r="C445" s="1055"/>
      <c r="D445" s="83"/>
      <c r="E445" s="954"/>
      <c r="F445" s="52"/>
      <c r="G445" s="103"/>
      <c r="H445" s="1058"/>
      <c r="I445" s="684" t="str">
        <f t="shared" si="42"/>
        <v/>
      </c>
      <c r="J445" s="685">
        <f t="shared" si="43"/>
        <v>0</v>
      </c>
      <c r="K445" s="1260"/>
      <c r="L445" s="1253"/>
      <c r="M445" s="1259"/>
      <c r="N445" s="719"/>
      <c r="O445" s="720"/>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46"/>
        <v>0</v>
      </c>
      <c r="AQ445" s="42"/>
      <c r="AR445" s="42"/>
      <c r="AS445" s="42"/>
      <c r="AT445" s="43"/>
      <c r="AU445" s="687">
        <f t="shared" si="47"/>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44"/>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48"/>
        <v>0</v>
      </c>
      <c r="DO445" s="683"/>
    </row>
    <row r="446" spans="1:119" ht="25.5" customHeight="1" thickTop="1" thickBot="1" x14ac:dyDescent="0.25">
      <c r="A446" s="676">
        <f t="shared" si="45"/>
        <v>431</v>
      </c>
      <c r="B446" s="1054"/>
      <c r="C446" s="1055"/>
      <c r="D446" s="83"/>
      <c r="E446" s="954"/>
      <c r="F446" s="52"/>
      <c r="G446" s="103"/>
      <c r="H446" s="1058"/>
      <c r="I446" s="684" t="str">
        <f t="shared" si="42"/>
        <v/>
      </c>
      <c r="J446" s="685">
        <f t="shared" si="43"/>
        <v>0</v>
      </c>
      <c r="K446" s="1260"/>
      <c r="L446" s="1253"/>
      <c r="M446" s="1259"/>
      <c r="N446" s="719"/>
      <c r="O446" s="720"/>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46"/>
        <v>0</v>
      </c>
      <c r="AQ446" s="42"/>
      <c r="AR446" s="42"/>
      <c r="AS446" s="42"/>
      <c r="AT446" s="43"/>
      <c r="AU446" s="687">
        <f t="shared" si="47"/>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44"/>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48"/>
        <v>0</v>
      </c>
      <c r="DO446" s="683"/>
    </row>
    <row r="447" spans="1:119" ht="25.5" customHeight="1" thickTop="1" thickBot="1" x14ac:dyDescent="0.25">
      <c r="A447" s="676">
        <f t="shared" si="45"/>
        <v>432</v>
      </c>
      <c r="B447" s="1054"/>
      <c r="C447" s="1055"/>
      <c r="D447" s="83"/>
      <c r="E447" s="954"/>
      <c r="F447" s="52"/>
      <c r="G447" s="103"/>
      <c r="H447" s="1058"/>
      <c r="I447" s="684" t="str">
        <f t="shared" si="42"/>
        <v/>
      </c>
      <c r="J447" s="685">
        <f t="shared" si="43"/>
        <v>0</v>
      </c>
      <c r="K447" s="1260"/>
      <c r="L447" s="1253"/>
      <c r="M447" s="1259"/>
      <c r="N447" s="719"/>
      <c r="O447" s="720"/>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46"/>
        <v>0</v>
      </c>
      <c r="AQ447" s="42"/>
      <c r="AR447" s="42"/>
      <c r="AS447" s="42"/>
      <c r="AT447" s="43"/>
      <c r="AU447" s="687">
        <f t="shared" si="47"/>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44"/>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48"/>
        <v>0</v>
      </c>
      <c r="DO447" s="683"/>
    </row>
    <row r="448" spans="1:119" ht="25.5" customHeight="1" thickTop="1" thickBot="1" x14ac:dyDescent="0.25">
      <c r="A448" s="676">
        <f t="shared" si="45"/>
        <v>433</v>
      </c>
      <c r="B448" s="1054"/>
      <c r="C448" s="1055"/>
      <c r="D448" s="83"/>
      <c r="E448" s="954"/>
      <c r="F448" s="52"/>
      <c r="G448" s="103"/>
      <c r="H448" s="1058"/>
      <c r="I448" s="684" t="str">
        <f t="shared" si="42"/>
        <v/>
      </c>
      <c r="J448" s="685">
        <f t="shared" si="43"/>
        <v>0</v>
      </c>
      <c r="K448" s="1260"/>
      <c r="L448" s="1253"/>
      <c r="M448" s="1259"/>
      <c r="N448" s="719"/>
      <c r="O448" s="720"/>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46"/>
        <v>0</v>
      </c>
      <c r="AQ448" s="42"/>
      <c r="AR448" s="42"/>
      <c r="AS448" s="42"/>
      <c r="AT448" s="43"/>
      <c r="AU448" s="687">
        <f t="shared" si="47"/>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44"/>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48"/>
        <v>0</v>
      </c>
      <c r="DO448" s="683"/>
    </row>
    <row r="449" spans="1:119" ht="25.5" customHeight="1" thickTop="1" thickBot="1" x14ac:dyDescent="0.25">
      <c r="A449" s="676">
        <f t="shared" si="45"/>
        <v>434</v>
      </c>
      <c r="B449" s="1054"/>
      <c r="C449" s="1055"/>
      <c r="D449" s="83"/>
      <c r="E449" s="954"/>
      <c r="F449" s="52"/>
      <c r="G449" s="103"/>
      <c r="H449" s="1058"/>
      <c r="I449" s="684" t="str">
        <f t="shared" si="42"/>
        <v/>
      </c>
      <c r="J449" s="685">
        <f t="shared" si="43"/>
        <v>0</v>
      </c>
      <c r="K449" s="1260"/>
      <c r="L449" s="1253"/>
      <c r="M449" s="1259"/>
      <c r="N449" s="719"/>
      <c r="O449" s="720"/>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46"/>
        <v>0</v>
      </c>
      <c r="AQ449" s="42"/>
      <c r="AR449" s="42"/>
      <c r="AS449" s="42"/>
      <c r="AT449" s="43"/>
      <c r="AU449" s="687">
        <f t="shared" si="47"/>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44"/>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48"/>
        <v>0</v>
      </c>
      <c r="DO449" s="683"/>
    </row>
    <row r="450" spans="1:119" ht="25.5" customHeight="1" thickTop="1" thickBot="1" x14ac:dyDescent="0.25">
      <c r="A450" s="676">
        <f t="shared" si="45"/>
        <v>435</v>
      </c>
      <c r="B450" s="1054"/>
      <c r="C450" s="1055"/>
      <c r="D450" s="83"/>
      <c r="E450" s="954"/>
      <c r="F450" s="52"/>
      <c r="G450" s="103"/>
      <c r="H450" s="1058"/>
      <c r="I450" s="684" t="str">
        <f t="shared" si="42"/>
        <v/>
      </c>
      <c r="J450" s="685">
        <f t="shared" si="43"/>
        <v>0</v>
      </c>
      <c r="K450" s="1260"/>
      <c r="L450" s="1253"/>
      <c r="M450" s="1259"/>
      <c r="N450" s="719"/>
      <c r="O450" s="720"/>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46"/>
        <v>0</v>
      </c>
      <c r="AQ450" s="42"/>
      <c r="AR450" s="42"/>
      <c r="AS450" s="42"/>
      <c r="AT450" s="43"/>
      <c r="AU450" s="687">
        <f t="shared" si="47"/>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44"/>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48"/>
        <v>0</v>
      </c>
      <c r="DO450" s="683"/>
    </row>
    <row r="451" spans="1:119" ht="25.5" customHeight="1" thickTop="1" thickBot="1" x14ac:dyDescent="0.25">
      <c r="A451" s="676">
        <f t="shared" si="45"/>
        <v>436</v>
      </c>
      <c r="B451" s="1054"/>
      <c r="C451" s="1055"/>
      <c r="D451" s="83"/>
      <c r="E451" s="954"/>
      <c r="F451" s="52"/>
      <c r="G451" s="103"/>
      <c r="H451" s="1058"/>
      <c r="I451" s="684" t="str">
        <f t="shared" si="42"/>
        <v/>
      </c>
      <c r="J451" s="685">
        <f t="shared" si="43"/>
        <v>0</v>
      </c>
      <c r="K451" s="1260"/>
      <c r="L451" s="1253"/>
      <c r="M451" s="1259"/>
      <c r="N451" s="719"/>
      <c r="O451" s="720"/>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46"/>
        <v>0</v>
      </c>
      <c r="AQ451" s="42"/>
      <c r="AR451" s="42"/>
      <c r="AS451" s="42"/>
      <c r="AT451" s="43"/>
      <c r="AU451" s="687">
        <f t="shared" si="47"/>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44"/>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48"/>
        <v>0</v>
      </c>
      <c r="DO451" s="683"/>
    </row>
    <row r="452" spans="1:119" ht="25.5" customHeight="1" thickTop="1" thickBot="1" x14ac:dyDescent="0.25">
      <c r="A452" s="676">
        <f t="shared" si="45"/>
        <v>437</v>
      </c>
      <c r="B452" s="1054"/>
      <c r="C452" s="1055"/>
      <c r="D452" s="83"/>
      <c r="E452" s="954"/>
      <c r="F452" s="52"/>
      <c r="G452" s="103"/>
      <c r="H452" s="1058"/>
      <c r="I452" s="684" t="str">
        <f t="shared" si="42"/>
        <v/>
      </c>
      <c r="J452" s="685">
        <f t="shared" si="43"/>
        <v>0</v>
      </c>
      <c r="K452" s="1260"/>
      <c r="L452" s="1253"/>
      <c r="M452" s="1259"/>
      <c r="N452" s="719"/>
      <c r="O452" s="720"/>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46"/>
        <v>0</v>
      </c>
      <c r="AQ452" s="42"/>
      <c r="AR452" s="42"/>
      <c r="AS452" s="42"/>
      <c r="AT452" s="43"/>
      <c r="AU452" s="687">
        <f t="shared" si="47"/>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44"/>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48"/>
        <v>0</v>
      </c>
      <c r="DO452" s="683"/>
    </row>
    <row r="453" spans="1:119" ht="25.5" customHeight="1" thickTop="1" thickBot="1" x14ac:dyDescent="0.25">
      <c r="A453" s="676">
        <f t="shared" si="45"/>
        <v>438</v>
      </c>
      <c r="B453" s="1054"/>
      <c r="C453" s="1055"/>
      <c r="D453" s="83"/>
      <c r="E453" s="954"/>
      <c r="F453" s="52"/>
      <c r="G453" s="103"/>
      <c r="H453" s="1058"/>
      <c r="I453" s="684" t="str">
        <f t="shared" si="42"/>
        <v/>
      </c>
      <c r="J453" s="685">
        <f t="shared" si="43"/>
        <v>0</v>
      </c>
      <c r="K453" s="1260"/>
      <c r="L453" s="1253"/>
      <c r="M453" s="1259"/>
      <c r="N453" s="719"/>
      <c r="O453" s="720"/>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46"/>
        <v>0</v>
      </c>
      <c r="AQ453" s="42"/>
      <c r="AR453" s="42"/>
      <c r="AS453" s="42"/>
      <c r="AT453" s="43"/>
      <c r="AU453" s="687">
        <f t="shared" si="47"/>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44"/>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48"/>
        <v>0</v>
      </c>
      <c r="DO453" s="683"/>
    </row>
    <row r="454" spans="1:119" ht="25.5" customHeight="1" thickTop="1" thickBot="1" x14ac:dyDescent="0.25">
      <c r="A454" s="676">
        <f t="shared" si="45"/>
        <v>439</v>
      </c>
      <c r="B454" s="1054"/>
      <c r="C454" s="1055"/>
      <c r="D454" s="83"/>
      <c r="E454" s="954"/>
      <c r="F454" s="52"/>
      <c r="G454" s="103"/>
      <c r="H454" s="1058"/>
      <c r="I454" s="684" t="str">
        <f t="shared" si="42"/>
        <v/>
      </c>
      <c r="J454" s="685">
        <f t="shared" si="43"/>
        <v>0</v>
      </c>
      <c r="K454" s="1260"/>
      <c r="L454" s="1253"/>
      <c r="M454" s="1259"/>
      <c r="N454" s="719"/>
      <c r="O454" s="720"/>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46"/>
        <v>0</v>
      </c>
      <c r="AQ454" s="42"/>
      <c r="AR454" s="42"/>
      <c r="AS454" s="42"/>
      <c r="AT454" s="43"/>
      <c r="AU454" s="687">
        <f t="shared" si="47"/>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44"/>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48"/>
        <v>0</v>
      </c>
      <c r="DO454" s="683"/>
    </row>
    <row r="455" spans="1:119" ht="25.5" customHeight="1" thickTop="1" thickBot="1" x14ac:dyDescent="0.25">
      <c r="A455" s="676">
        <f t="shared" si="45"/>
        <v>440</v>
      </c>
      <c r="B455" s="1054"/>
      <c r="C455" s="1055"/>
      <c r="D455" s="83"/>
      <c r="E455" s="954"/>
      <c r="F455" s="52"/>
      <c r="G455" s="103"/>
      <c r="H455" s="1058"/>
      <c r="I455" s="684" t="str">
        <f t="shared" si="42"/>
        <v/>
      </c>
      <c r="J455" s="685">
        <f t="shared" si="43"/>
        <v>0</v>
      </c>
      <c r="K455" s="1260"/>
      <c r="L455" s="1253"/>
      <c r="M455" s="1259"/>
      <c r="N455" s="719"/>
      <c r="O455" s="720"/>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46"/>
        <v>0</v>
      </c>
      <c r="AQ455" s="42"/>
      <c r="AR455" s="42"/>
      <c r="AS455" s="42"/>
      <c r="AT455" s="43"/>
      <c r="AU455" s="687">
        <f t="shared" si="47"/>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44"/>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48"/>
        <v>0</v>
      </c>
      <c r="DO455" s="683"/>
    </row>
    <row r="456" spans="1:119" ht="25.5" customHeight="1" thickTop="1" thickBot="1" x14ac:dyDescent="0.25">
      <c r="A456" s="676">
        <f t="shared" si="45"/>
        <v>441</v>
      </c>
      <c r="B456" s="1054"/>
      <c r="C456" s="1055"/>
      <c r="D456" s="83"/>
      <c r="E456" s="954"/>
      <c r="F456" s="52"/>
      <c r="G456" s="103"/>
      <c r="H456" s="1058"/>
      <c r="I456" s="684" t="str">
        <f t="shared" si="42"/>
        <v/>
      </c>
      <c r="J456" s="685">
        <f t="shared" si="43"/>
        <v>0</v>
      </c>
      <c r="K456" s="1260"/>
      <c r="L456" s="1253"/>
      <c r="M456" s="1259"/>
      <c r="N456" s="719"/>
      <c r="O456" s="720"/>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46"/>
        <v>0</v>
      </c>
      <c r="AQ456" s="42"/>
      <c r="AR456" s="42"/>
      <c r="AS456" s="42"/>
      <c r="AT456" s="43"/>
      <c r="AU456" s="687">
        <f t="shared" si="47"/>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44"/>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48"/>
        <v>0</v>
      </c>
      <c r="DO456" s="683"/>
    </row>
    <row r="457" spans="1:119" ht="25.5" customHeight="1" thickTop="1" thickBot="1" x14ac:dyDescent="0.25">
      <c r="A457" s="676">
        <f t="shared" si="45"/>
        <v>442</v>
      </c>
      <c r="B457" s="1054"/>
      <c r="C457" s="1055"/>
      <c r="D457" s="83"/>
      <c r="E457" s="954"/>
      <c r="F457" s="52"/>
      <c r="G457" s="103"/>
      <c r="H457" s="1058"/>
      <c r="I457" s="684" t="str">
        <f t="shared" si="42"/>
        <v/>
      </c>
      <c r="J457" s="685">
        <f t="shared" si="43"/>
        <v>0</v>
      </c>
      <c r="K457" s="1260"/>
      <c r="L457" s="1253"/>
      <c r="M457" s="1259"/>
      <c r="N457" s="719"/>
      <c r="O457" s="720"/>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46"/>
        <v>0</v>
      </c>
      <c r="AQ457" s="42"/>
      <c r="AR457" s="42"/>
      <c r="AS457" s="42"/>
      <c r="AT457" s="43"/>
      <c r="AU457" s="687">
        <f t="shared" si="47"/>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44"/>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48"/>
        <v>0</v>
      </c>
      <c r="DO457" s="683"/>
    </row>
    <row r="458" spans="1:119" ht="25.5" customHeight="1" thickTop="1" thickBot="1" x14ac:dyDescent="0.25">
      <c r="A458" s="676">
        <f t="shared" si="45"/>
        <v>443</v>
      </c>
      <c r="B458" s="1054"/>
      <c r="C458" s="1055"/>
      <c r="D458" s="83"/>
      <c r="E458" s="954"/>
      <c r="F458" s="52"/>
      <c r="G458" s="103"/>
      <c r="H458" s="1058"/>
      <c r="I458" s="684" t="str">
        <f t="shared" si="42"/>
        <v/>
      </c>
      <c r="J458" s="685">
        <f t="shared" si="43"/>
        <v>0</v>
      </c>
      <c r="K458" s="1260"/>
      <c r="L458" s="1253"/>
      <c r="M458" s="1259"/>
      <c r="N458" s="719"/>
      <c r="O458" s="720"/>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46"/>
        <v>0</v>
      </c>
      <c r="AQ458" s="42"/>
      <c r="AR458" s="42"/>
      <c r="AS458" s="42"/>
      <c r="AT458" s="43"/>
      <c r="AU458" s="687">
        <f t="shared" si="47"/>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44"/>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48"/>
        <v>0</v>
      </c>
      <c r="DO458" s="683"/>
    </row>
    <row r="459" spans="1:119" ht="25.5" customHeight="1" thickTop="1" thickBot="1" x14ac:dyDescent="0.25">
      <c r="A459" s="676">
        <f t="shared" si="45"/>
        <v>444</v>
      </c>
      <c r="B459" s="1054"/>
      <c r="C459" s="1055"/>
      <c r="D459" s="83"/>
      <c r="E459" s="954"/>
      <c r="F459" s="52"/>
      <c r="G459" s="103"/>
      <c r="H459" s="1058"/>
      <c r="I459" s="684" t="str">
        <f t="shared" si="42"/>
        <v/>
      </c>
      <c r="J459" s="685">
        <f t="shared" si="43"/>
        <v>0</v>
      </c>
      <c r="K459" s="1260"/>
      <c r="L459" s="1253"/>
      <c r="M459" s="1259"/>
      <c r="N459" s="719"/>
      <c r="O459" s="720"/>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46"/>
        <v>0</v>
      </c>
      <c r="AQ459" s="42"/>
      <c r="AR459" s="42"/>
      <c r="AS459" s="42"/>
      <c r="AT459" s="43"/>
      <c r="AU459" s="687">
        <f t="shared" si="47"/>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44"/>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48"/>
        <v>0</v>
      </c>
      <c r="DO459" s="683"/>
    </row>
    <row r="460" spans="1:119" ht="25.5" customHeight="1" thickTop="1" thickBot="1" x14ac:dyDescent="0.25">
      <c r="A460" s="676">
        <f t="shared" si="45"/>
        <v>445</v>
      </c>
      <c r="B460" s="1054"/>
      <c r="C460" s="1055"/>
      <c r="D460" s="83"/>
      <c r="E460" s="954"/>
      <c r="F460" s="52"/>
      <c r="G460" s="103"/>
      <c r="H460" s="1058"/>
      <c r="I460" s="684" t="str">
        <f t="shared" si="42"/>
        <v/>
      </c>
      <c r="J460" s="685">
        <f t="shared" si="43"/>
        <v>0</v>
      </c>
      <c r="K460" s="1260"/>
      <c r="L460" s="1253"/>
      <c r="M460" s="1259"/>
      <c r="N460" s="719"/>
      <c r="O460" s="720"/>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46"/>
        <v>0</v>
      </c>
      <c r="AQ460" s="42"/>
      <c r="AR460" s="42"/>
      <c r="AS460" s="42"/>
      <c r="AT460" s="43"/>
      <c r="AU460" s="687">
        <f t="shared" si="47"/>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44"/>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48"/>
        <v>0</v>
      </c>
      <c r="DO460" s="683"/>
    </row>
    <row r="461" spans="1:119" ht="25.5" customHeight="1" thickTop="1" thickBot="1" x14ac:dyDescent="0.25">
      <c r="A461" s="676">
        <f t="shared" si="45"/>
        <v>446</v>
      </c>
      <c r="B461" s="1054"/>
      <c r="C461" s="1055"/>
      <c r="D461" s="83"/>
      <c r="E461" s="954"/>
      <c r="F461" s="52"/>
      <c r="G461" s="103"/>
      <c r="H461" s="1058"/>
      <c r="I461" s="684" t="str">
        <f t="shared" si="42"/>
        <v/>
      </c>
      <c r="J461" s="685">
        <f t="shared" si="43"/>
        <v>0</v>
      </c>
      <c r="K461" s="1260"/>
      <c r="L461" s="1253"/>
      <c r="M461" s="1259"/>
      <c r="N461" s="719"/>
      <c r="O461" s="720"/>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46"/>
        <v>0</v>
      </c>
      <c r="AQ461" s="42"/>
      <c r="AR461" s="42"/>
      <c r="AS461" s="42"/>
      <c r="AT461" s="43"/>
      <c r="AU461" s="687">
        <f t="shared" si="47"/>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44"/>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48"/>
        <v>0</v>
      </c>
      <c r="DO461" s="683"/>
    </row>
    <row r="462" spans="1:119" ht="25.5" customHeight="1" thickTop="1" thickBot="1" x14ac:dyDescent="0.25">
      <c r="A462" s="676">
        <f t="shared" si="45"/>
        <v>447</v>
      </c>
      <c r="B462" s="1054"/>
      <c r="C462" s="1055"/>
      <c r="D462" s="83"/>
      <c r="E462" s="954"/>
      <c r="F462" s="52"/>
      <c r="G462" s="103"/>
      <c r="H462" s="1058"/>
      <c r="I462" s="684" t="str">
        <f t="shared" si="42"/>
        <v/>
      </c>
      <c r="J462" s="685">
        <f t="shared" si="43"/>
        <v>0</v>
      </c>
      <c r="K462" s="1260"/>
      <c r="L462" s="1253"/>
      <c r="M462" s="1259"/>
      <c r="N462" s="719"/>
      <c r="O462" s="720"/>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46"/>
        <v>0</v>
      </c>
      <c r="AQ462" s="42"/>
      <c r="AR462" s="42"/>
      <c r="AS462" s="42"/>
      <c r="AT462" s="43"/>
      <c r="AU462" s="687">
        <f t="shared" si="47"/>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44"/>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48"/>
        <v>0</v>
      </c>
      <c r="DO462" s="683"/>
    </row>
    <row r="463" spans="1:119" ht="25.5" customHeight="1" thickTop="1" thickBot="1" x14ac:dyDescent="0.25">
      <c r="A463" s="676">
        <f t="shared" si="45"/>
        <v>448</v>
      </c>
      <c r="B463" s="1054"/>
      <c r="C463" s="1055"/>
      <c r="D463" s="83"/>
      <c r="E463" s="954"/>
      <c r="F463" s="52"/>
      <c r="G463" s="103"/>
      <c r="H463" s="1058"/>
      <c r="I463" s="684" t="str">
        <f t="shared" si="42"/>
        <v/>
      </c>
      <c r="J463" s="685">
        <f t="shared" si="43"/>
        <v>0</v>
      </c>
      <c r="K463" s="1260"/>
      <c r="L463" s="1253"/>
      <c r="M463" s="1259"/>
      <c r="N463" s="719"/>
      <c r="O463" s="720"/>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46"/>
        <v>0</v>
      </c>
      <c r="AQ463" s="42"/>
      <c r="AR463" s="42"/>
      <c r="AS463" s="42"/>
      <c r="AT463" s="43"/>
      <c r="AU463" s="687">
        <f t="shared" si="47"/>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44"/>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48"/>
        <v>0</v>
      </c>
      <c r="DO463" s="683"/>
    </row>
    <row r="464" spans="1:119" ht="25.5" customHeight="1" thickTop="1" thickBot="1" x14ac:dyDescent="0.25">
      <c r="A464" s="676">
        <f t="shared" si="45"/>
        <v>449</v>
      </c>
      <c r="B464" s="1054"/>
      <c r="C464" s="1055"/>
      <c r="D464" s="83"/>
      <c r="E464" s="954"/>
      <c r="F464" s="52"/>
      <c r="G464" s="103"/>
      <c r="H464" s="1058"/>
      <c r="I464" s="684" t="str">
        <f t="shared" ref="I464:I515" si="49">LEFT(H464,4)</f>
        <v/>
      </c>
      <c r="J464" s="685">
        <f t="shared" ref="J464:J515" si="50">G464-DN464</f>
        <v>0</v>
      </c>
      <c r="K464" s="1260"/>
      <c r="L464" s="1253"/>
      <c r="M464" s="1259"/>
      <c r="N464" s="719"/>
      <c r="O464" s="720"/>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46"/>
        <v>0</v>
      </c>
      <c r="AQ464" s="42"/>
      <c r="AR464" s="42"/>
      <c r="AS464" s="42"/>
      <c r="AT464" s="43"/>
      <c r="AU464" s="687">
        <f t="shared" si="47"/>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1">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48"/>
        <v>0</v>
      </c>
      <c r="DO464" s="683"/>
    </row>
    <row r="465" spans="1:119" ht="25.5" customHeight="1" thickTop="1" thickBot="1" x14ac:dyDescent="0.25">
      <c r="A465" s="676">
        <f t="shared" ref="A465:A515" si="52">$A464+1</f>
        <v>450</v>
      </c>
      <c r="B465" s="1054"/>
      <c r="C465" s="1055"/>
      <c r="D465" s="83"/>
      <c r="E465" s="954"/>
      <c r="F465" s="52"/>
      <c r="G465" s="103"/>
      <c r="H465" s="1058"/>
      <c r="I465" s="684" t="str">
        <f t="shared" si="49"/>
        <v/>
      </c>
      <c r="J465" s="685">
        <f t="shared" si="50"/>
        <v>0</v>
      </c>
      <c r="K465" s="1260"/>
      <c r="L465" s="1253"/>
      <c r="M465" s="1259"/>
      <c r="N465" s="719"/>
      <c r="O465" s="720"/>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53">SUM(AQ465:AT465)</f>
        <v>0</v>
      </c>
      <c r="AQ465" s="42"/>
      <c r="AR465" s="42"/>
      <c r="AS465" s="42"/>
      <c r="AT465" s="43"/>
      <c r="AU465" s="687">
        <f t="shared" ref="AU465:AU515" si="54">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1"/>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55">SUM(P465:AP465,AU465,AZ465:BW465,CE465:DM465)</f>
        <v>0</v>
      </c>
      <c r="DO465" s="683"/>
    </row>
    <row r="466" spans="1:119" ht="25.5" customHeight="1" thickTop="1" thickBot="1" x14ac:dyDescent="0.25">
      <c r="A466" s="676">
        <f t="shared" si="52"/>
        <v>451</v>
      </c>
      <c r="B466" s="1054"/>
      <c r="C466" s="1055"/>
      <c r="D466" s="83"/>
      <c r="E466" s="954"/>
      <c r="F466" s="52"/>
      <c r="G466" s="103"/>
      <c r="H466" s="1058"/>
      <c r="I466" s="684" t="str">
        <f t="shared" si="49"/>
        <v/>
      </c>
      <c r="J466" s="685">
        <f t="shared" si="50"/>
        <v>0</v>
      </c>
      <c r="K466" s="1260"/>
      <c r="L466" s="1253"/>
      <c r="M466" s="1259"/>
      <c r="N466" s="719"/>
      <c r="O466" s="720"/>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53"/>
        <v>0</v>
      </c>
      <c r="AQ466" s="42"/>
      <c r="AR466" s="42"/>
      <c r="AS466" s="42"/>
      <c r="AT466" s="43"/>
      <c r="AU466" s="687">
        <f t="shared" si="54"/>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1"/>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55"/>
        <v>0</v>
      </c>
      <c r="DO466" s="683"/>
    </row>
    <row r="467" spans="1:119" ht="25.5" customHeight="1" thickTop="1" thickBot="1" x14ac:dyDescent="0.25">
      <c r="A467" s="676">
        <f t="shared" si="52"/>
        <v>452</v>
      </c>
      <c r="B467" s="1054"/>
      <c r="C467" s="1055"/>
      <c r="D467" s="83"/>
      <c r="E467" s="954"/>
      <c r="F467" s="52"/>
      <c r="G467" s="103"/>
      <c r="H467" s="1058"/>
      <c r="I467" s="684" t="str">
        <f t="shared" si="49"/>
        <v/>
      </c>
      <c r="J467" s="685">
        <f t="shared" si="50"/>
        <v>0</v>
      </c>
      <c r="K467" s="1260"/>
      <c r="L467" s="1253"/>
      <c r="M467" s="1259"/>
      <c r="N467" s="719"/>
      <c r="O467" s="720"/>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53"/>
        <v>0</v>
      </c>
      <c r="AQ467" s="42"/>
      <c r="AR467" s="42"/>
      <c r="AS467" s="42"/>
      <c r="AT467" s="43"/>
      <c r="AU467" s="687">
        <f t="shared" si="54"/>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1"/>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55"/>
        <v>0</v>
      </c>
      <c r="DO467" s="683"/>
    </row>
    <row r="468" spans="1:119" ht="25.5" customHeight="1" thickTop="1" thickBot="1" x14ac:dyDescent="0.25">
      <c r="A468" s="676">
        <f t="shared" si="52"/>
        <v>453</v>
      </c>
      <c r="B468" s="1054"/>
      <c r="C468" s="1055"/>
      <c r="D468" s="83"/>
      <c r="E468" s="954"/>
      <c r="F468" s="52"/>
      <c r="G468" s="103"/>
      <c r="H468" s="1058"/>
      <c r="I468" s="684" t="str">
        <f t="shared" si="49"/>
        <v/>
      </c>
      <c r="J468" s="685">
        <f t="shared" si="50"/>
        <v>0</v>
      </c>
      <c r="K468" s="1260"/>
      <c r="L468" s="1253"/>
      <c r="M468" s="1259"/>
      <c r="N468" s="719"/>
      <c r="O468" s="720"/>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53"/>
        <v>0</v>
      </c>
      <c r="AQ468" s="42"/>
      <c r="AR468" s="42"/>
      <c r="AS468" s="42"/>
      <c r="AT468" s="43"/>
      <c r="AU468" s="687">
        <f t="shared" si="54"/>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1"/>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55"/>
        <v>0</v>
      </c>
      <c r="DO468" s="683"/>
    </row>
    <row r="469" spans="1:119" ht="25.5" customHeight="1" thickTop="1" thickBot="1" x14ac:dyDescent="0.25">
      <c r="A469" s="676">
        <f t="shared" si="52"/>
        <v>454</v>
      </c>
      <c r="B469" s="1054"/>
      <c r="C469" s="1055"/>
      <c r="D469" s="83"/>
      <c r="E469" s="954"/>
      <c r="F469" s="52"/>
      <c r="G469" s="103"/>
      <c r="H469" s="1058"/>
      <c r="I469" s="684" t="str">
        <f t="shared" si="49"/>
        <v/>
      </c>
      <c r="J469" s="685">
        <f t="shared" si="50"/>
        <v>0</v>
      </c>
      <c r="K469" s="1260"/>
      <c r="L469" s="1253"/>
      <c r="M469" s="1259"/>
      <c r="N469" s="719"/>
      <c r="O469" s="720"/>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53"/>
        <v>0</v>
      </c>
      <c r="AQ469" s="42"/>
      <c r="AR469" s="42"/>
      <c r="AS469" s="42"/>
      <c r="AT469" s="43"/>
      <c r="AU469" s="687">
        <f t="shared" si="54"/>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1"/>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55"/>
        <v>0</v>
      </c>
      <c r="DO469" s="683"/>
    </row>
    <row r="470" spans="1:119" ht="25.5" customHeight="1" thickTop="1" thickBot="1" x14ac:dyDescent="0.25">
      <c r="A470" s="676">
        <f t="shared" si="52"/>
        <v>455</v>
      </c>
      <c r="B470" s="1054"/>
      <c r="C470" s="1055"/>
      <c r="D470" s="83"/>
      <c r="E470" s="954"/>
      <c r="F470" s="52"/>
      <c r="G470" s="103"/>
      <c r="H470" s="1058"/>
      <c r="I470" s="684" t="str">
        <f t="shared" si="49"/>
        <v/>
      </c>
      <c r="J470" s="685">
        <f t="shared" si="50"/>
        <v>0</v>
      </c>
      <c r="K470" s="1260"/>
      <c r="L470" s="1253"/>
      <c r="M470" s="1259"/>
      <c r="N470" s="719"/>
      <c r="O470" s="720"/>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53"/>
        <v>0</v>
      </c>
      <c r="AQ470" s="42"/>
      <c r="AR470" s="42"/>
      <c r="AS470" s="42"/>
      <c r="AT470" s="43"/>
      <c r="AU470" s="687">
        <f t="shared" si="54"/>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1"/>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55"/>
        <v>0</v>
      </c>
      <c r="DO470" s="683"/>
    </row>
    <row r="471" spans="1:119" ht="25.5" customHeight="1" thickTop="1" thickBot="1" x14ac:dyDescent="0.25">
      <c r="A471" s="676">
        <f t="shared" si="52"/>
        <v>456</v>
      </c>
      <c r="B471" s="1054"/>
      <c r="C471" s="1055"/>
      <c r="D471" s="83"/>
      <c r="E471" s="954"/>
      <c r="F471" s="52"/>
      <c r="G471" s="103"/>
      <c r="H471" s="1058"/>
      <c r="I471" s="684" t="str">
        <f t="shared" si="49"/>
        <v/>
      </c>
      <c r="J471" s="685">
        <f t="shared" si="50"/>
        <v>0</v>
      </c>
      <c r="K471" s="1260"/>
      <c r="L471" s="1253"/>
      <c r="M471" s="1259"/>
      <c r="N471" s="719"/>
      <c r="O471" s="720"/>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53"/>
        <v>0</v>
      </c>
      <c r="AQ471" s="42"/>
      <c r="AR471" s="42"/>
      <c r="AS471" s="42"/>
      <c r="AT471" s="43"/>
      <c r="AU471" s="687">
        <f t="shared" si="54"/>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1"/>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55"/>
        <v>0</v>
      </c>
      <c r="DO471" s="683"/>
    </row>
    <row r="472" spans="1:119" ht="25.5" customHeight="1" thickTop="1" thickBot="1" x14ac:dyDescent="0.25">
      <c r="A472" s="676">
        <f t="shared" si="52"/>
        <v>457</v>
      </c>
      <c r="B472" s="1054"/>
      <c r="C472" s="1055"/>
      <c r="D472" s="83"/>
      <c r="E472" s="954"/>
      <c r="F472" s="52"/>
      <c r="G472" s="103"/>
      <c r="H472" s="1058"/>
      <c r="I472" s="684" t="str">
        <f t="shared" si="49"/>
        <v/>
      </c>
      <c r="J472" s="685">
        <f t="shared" si="50"/>
        <v>0</v>
      </c>
      <c r="K472" s="1260"/>
      <c r="L472" s="1253"/>
      <c r="M472" s="1259"/>
      <c r="N472" s="719"/>
      <c r="O472" s="720"/>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53"/>
        <v>0</v>
      </c>
      <c r="AQ472" s="42"/>
      <c r="AR472" s="42"/>
      <c r="AS472" s="42"/>
      <c r="AT472" s="43"/>
      <c r="AU472" s="687">
        <f t="shared" si="54"/>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1"/>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55"/>
        <v>0</v>
      </c>
      <c r="DO472" s="683"/>
    </row>
    <row r="473" spans="1:119" ht="25.5" customHeight="1" thickTop="1" thickBot="1" x14ac:dyDescent="0.25">
      <c r="A473" s="676">
        <f t="shared" si="52"/>
        <v>458</v>
      </c>
      <c r="B473" s="1054"/>
      <c r="C473" s="1055"/>
      <c r="D473" s="83"/>
      <c r="E473" s="954"/>
      <c r="F473" s="52"/>
      <c r="G473" s="103"/>
      <c r="H473" s="1058"/>
      <c r="I473" s="684" t="str">
        <f t="shared" si="49"/>
        <v/>
      </c>
      <c r="J473" s="685">
        <f t="shared" si="50"/>
        <v>0</v>
      </c>
      <c r="K473" s="1260"/>
      <c r="L473" s="1253"/>
      <c r="M473" s="1259"/>
      <c r="N473" s="719"/>
      <c r="O473" s="720"/>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53"/>
        <v>0</v>
      </c>
      <c r="AQ473" s="42"/>
      <c r="AR473" s="42"/>
      <c r="AS473" s="42"/>
      <c r="AT473" s="43"/>
      <c r="AU473" s="687">
        <f t="shared" si="54"/>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1"/>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55"/>
        <v>0</v>
      </c>
      <c r="DO473" s="683"/>
    </row>
    <row r="474" spans="1:119" ht="25.5" customHeight="1" thickTop="1" thickBot="1" x14ac:dyDescent="0.25">
      <c r="A474" s="676">
        <f t="shared" si="52"/>
        <v>459</v>
      </c>
      <c r="B474" s="1054"/>
      <c r="C474" s="1055"/>
      <c r="D474" s="83"/>
      <c r="E474" s="954"/>
      <c r="F474" s="52"/>
      <c r="G474" s="103"/>
      <c r="H474" s="1058"/>
      <c r="I474" s="684" t="str">
        <f t="shared" si="49"/>
        <v/>
      </c>
      <c r="J474" s="685">
        <f t="shared" si="50"/>
        <v>0</v>
      </c>
      <c r="K474" s="1260"/>
      <c r="L474" s="1253"/>
      <c r="M474" s="1259"/>
      <c r="N474" s="719"/>
      <c r="O474" s="720"/>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53"/>
        <v>0</v>
      </c>
      <c r="AQ474" s="42"/>
      <c r="AR474" s="42"/>
      <c r="AS474" s="42"/>
      <c r="AT474" s="43"/>
      <c r="AU474" s="687">
        <f t="shared" si="54"/>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1"/>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55"/>
        <v>0</v>
      </c>
      <c r="DO474" s="683"/>
    </row>
    <row r="475" spans="1:119" ht="25.5" customHeight="1" thickTop="1" thickBot="1" x14ac:dyDescent="0.25">
      <c r="A475" s="676">
        <f t="shared" si="52"/>
        <v>460</v>
      </c>
      <c r="B475" s="1054"/>
      <c r="C475" s="1055"/>
      <c r="D475" s="83"/>
      <c r="E475" s="954"/>
      <c r="F475" s="52"/>
      <c r="G475" s="103"/>
      <c r="H475" s="1058"/>
      <c r="I475" s="684" t="str">
        <f t="shared" si="49"/>
        <v/>
      </c>
      <c r="J475" s="685">
        <f t="shared" si="50"/>
        <v>0</v>
      </c>
      <c r="K475" s="1260"/>
      <c r="L475" s="1253"/>
      <c r="M475" s="1259"/>
      <c r="N475" s="719"/>
      <c r="O475" s="720"/>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53"/>
        <v>0</v>
      </c>
      <c r="AQ475" s="42"/>
      <c r="AR475" s="42"/>
      <c r="AS475" s="42"/>
      <c r="AT475" s="43"/>
      <c r="AU475" s="687">
        <f t="shared" si="54"/>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1"/>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55"/>
        <v>0</v>
      </c>
      <c r="DO475" s="683"/>
    </row>
    <row r="476" spans="1:119" ht="25.5" customHeight="1" thickTop="1" thickBot="1" x14ac:dyDescent="0.25">
      <c r="A476" s="676">
        <f t="shared" si="52"/>
        <v>461</v>
      </c>
      <c r="B476" s="1054"/>
      <c r="C476" s="1055"/>
      <c r="D476" s="83"/>
      <c r="E476" s="954"/>
      <c r="F476" s="52"/>
      <c r="G476" s="103"/>
      <c r="H476" s="1058"/>
      <c r="I476" s="684" t="str">
        <f t="shared" si="49"/>
        <v/>
      </c>
      <c r="J476" s="685">
        <f t="shared" si="50"/>
        <v>0</v>
      </c>
      <c r="K476" s="1260"/>
      <c r="L476" s="1253"/>
      <c r="M476" s="1259"/>
      <c r="N476" s="719"/>
      <c r="O476" s="720"/>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53"/>
        <v>0</v>
      </c>
      <c r="AQ476" s="42"/>
      <c r="AR476" s="42"/>
      <c r="AS476" s="42"/>
      <c r="AT476" s="43"/>
      <c r="AU476" s="687">
        <f t="shared" si="54"/>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1"/>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55"/>
        <v>0</v>
      </c>
      <c r="DO476" s="683"/>
    </row>
    <row r="477" spans="1:119" ht="25.5" customHeight="1" thickTop="1" thickBot="1" x14ac:dyDescent="0.25">
      <c r="A477" s="676">
        <f t="shared" si="52"/>
        <v>462</v>
      </c>
      <c r="B477" s="1054"/>
      <c r="C477" s="1055"/>
      <c r="D477" s="83"/>
      <c r="E477" s="954"/>
      <c r="F477" s="52"/>
      <c r="G477" s="103"/>
      <c r="H477" s="1058"/>
      <c r="I477" s="684" t="str">
        <f t="shared" si="49"/>
        <v/>
      </c>
      <c r="J477" s="685">
        <f t="shared" si="50"/>
        <v>0</v>
      </c>
      <c r="K477" s="1260"/>
      <c r="L477" s="1253"/>
      <c r="M477" s="1259"/>
      <c r="N477" s="719"/>
      <c r="O477" s="720"/>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53"/>
        <v>0</v>
      </c>
      <c r="AQ477" s="42"/>
      <c r="AR477" s="42"/>
      <c r="AS477" s="42"/>
      <c r="AT477" s="43"/>
      <c r="AU477" s="687">
        <f t="shared" si="54"/>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1"/>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55"/>
        <v>0</v>
      </c>
      <c r="DO477" s="683"/>
    </row>
    <row r="478" spans="1:119" ht="25.5" customHeight="1" thickTop="1" thickBot="1" x14ac:dyDescent="0.25">
      <c r="A478" s="676">
        <f t="shared" si="52"/>
        <v>463</v>
      </c>
      <c r="B478" s="1054"/>
      <c r="C478" s="1055"/>
      <c r="D478" s="83"/>
      <c r="E478" s="954"/>
      <c r="F478" s="52"/>
      <c r="G478" s="103"/>
      <c r="H478" s="1058"/>
      <c r="I478" s="684" t="str">
        <f t="shared" si="49"/>
        <v/>
      </c>
      <c r="J478" s="685">
        <f t="shared" si="50"/>
        <v>0</v>
      </c>
      <c r="K478" s="1260"/>
      <c r="L478" s="1253"/>
      <c r="M478" s="1259"/>
      <c r="N478" s="719"/>
      <c r="O478" s="720"/>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53"/>
        <v>0</v>
      </c>
      <c r="AQ478" s="42"/>
      <c r="AR478" s="42"/>
      <c r="AS478" s="42"/>
      <c r="AT478" s="43"/>
      <c r="AU478" s="687">
        <f t="shared" si="54"/>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1"/>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55"/>
        <v>0</v>
      </c>
      <c r="DO478" s="683"/>
    </row>
    <row r="479" spans="1:119" ht="25.5" customHeight="1" thickTop="1" thickBot="1" x14ac:dyDescent="0.25">
      <c r="A479" s="676">
        <f t="shared" si="52"/>
        <v>464</v>
      </c>
      <c r="B479" s="1054"/>
      <c r="C479" s="1055"/>
      <c r="D479" s="83"/>
      <c r="E479" s="954"/>
      <c r="F479" s="52"/>
      <c r="G479" s="103"/>
      <c r="H479" s="1058"/>
      <c r="I479" s="684" t="str">
        <f t="shared" si="49"/>
        <v/>
      </c>
      <c r="J479" s="685">
        <f t="shared" si="50"/>
        <v>0</v>
      </c>
      <c r="K479" s="1260"/>
      <c r="L479" s="1253"/>
      <c r="M479" s="1259"/>
      <c r="N479" s="719"/>
      <c r="O479" s="720"/>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53"/>
        <v>0</v>
      </c>
      <c r="AQ479" s="42"/>
      <c r="AR479" s="42"/>
      <c r="AS479" s="42"/>
      <c r="AT479" s="43"/>
      <c r="AU479" s="687">
        <f t="shared" si="54"/>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1"/>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55"/>
        <v>0</v>
      </c>
      <c r="DO479" s="683"/>
    </row>
    <row r="480" spans="1:119" ht="25.5" customHeight="1" thickTop="1" thickBot="1" x14ac:dyDescent="0.25">
      <c r="A480" s="676">
        <f t="shared" si="52"/>
        <v>465</v>
      </c>
      <c r="B480" s="1054"/>
      <c r="C480" s="1055"/>
      <c r="D480" s="83"/>
      <c r="E480" s="954"/>
      <c r="F480" s="52"/>
      <c r="G480" s="103"/>
      <c r="H480" s="1058"/>
      <c r="I480" s="684" t="str">
        <f t="shared" si="49"/>
        <v/>
      </c>
      <c r="J480" s="685">
        <f t="shared" si="50"/>
        <v>0</v>
      </c>
      <c r="K480" s="1260"/>
      <c r="L480" s="1253"/>
      <c r="M480" s="1259"/>
      <c r="N480" s="719"/>
      <c r="O480" s="720"/>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53"/>
        <v>0</v>
      </c>
      <c r="AQ480" s="42"/>
      <c r="AR480" s="42"/>
      <c r="AS480" s="42"/>
      <c r="AT480" s="43"/>
      <c r="AU480" s="687">
        <f t="shared" si="54"/>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1"/>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55"/>
        <v>0</v>
      </c>
      <c r="DO480" s="683"/>
    </row>
    <row r="481" spans="1:119" ht="25.5" customHeight="1" thickTop="1" thickBot="1" x14ac:dyDescent="0.25">
      <c r="A481" s="676">
        <f t="shared" si="52"/>
        <v>466</v>
      </c>
      <c r="B481" s="1054"/>
      <c r="C481" s="1055"/>
      <c r="D481" s="83"/>
      <c r="E481" s="954"/>
      <c r="F481" s="52"/>
      <c r="G481" s="103"/>
      <c r="H481" s="1058"/>
      <c r="I481" s="684" t="str">
        <f t="shared" si="49"/>
        <v/>
      </c>
      <c r="J481" s="685">
        <f t="shared" si="50"/>
        <v>0</v>
      </c>
      <c r="K481" s="1260"/>
      <c r="L481" s="1253"/>
      <c r="M481" s="1259"/>
      <c r="N481" s="719"/>
      <c r="O481" s="720"/>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53"/>
        <v>0</v>
      </c>
      <c r="AQ481" s="42"/>
      <c r="AR481" s="42"/>
      <c r="AS481" s="42"/>
      <c r="AT481" s="43"/>
      <c r="AU481" s="687">
        <f t="shared" si="54"/>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1"/>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55"/>
        <v>0</v>
      </c>
      <c r="DO481" s="683"/>
    </row>
    <row r="482" spans="1:119" ht="25.5" customHeight="1" thickTop="1" thickBot="1" x14ac:dyDescent="0.25">
      <c r="A482" s="676">
        <f t="shared" si="52"/>
        <v>467</v>
      </c>
      <c r="B482" s="1054"/>
      <c r="C482" s="1055"/>
      <c r="D482" s="83"/>
      <c r="E482" s="954"/>
      <c r="F482" s="52"/>
      <c r="G482" s="103"/>
      <c r="H482" s="1058"/>
      <c r="I482" s="684" t="str">
        <f t="shared" si="49"/>
        <v/>
      </c>
      <c r="J482" s="685">
        <f t="shared" si="50"/>
        <v>0</v>
      </c>
      <c r="K482" s="1260"/>
      <c r="L482" s="1253"/>
      <c r="M482" s="1259"/>
      <c r="N482" s="719"/>
      <c r="O482" s="720"/>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53"/>
        <v>0</v>
      </c>
      <c r="AQ482" s="42"/>
      <c r="AR482" s="42"/>
      <c r="AS482" s="42"/>
      <c r="AT482" s="43"/>
      <c r="AU482" s="687">
        <f t="shared" si="54"/>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1"/>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55"/>
        <v>0</v>
      </c>
      <c r="DO482" s="683"/>
    </row>
    <row r="483" spans="1:119" ht="25.5" customHeight="1" thickTop="1" thickBot="1" x14ac:dyDescent="0.25">
      <c r="A483" s="676">
        <f t="shared" si="52"/>
        <v>468</v>
      </c>
      <c r="B483" s="1054"/>
      <c r="C483" s="1055"/>
      <c r="D483" s="83"/>
      <c r="E483" s="954"/>
      <c r="F483" s="52"/>
      <c r="G483" s="103"/>
      <c r="H483" s="1058"/>
      <c r="I483" s="684" t="str">
        <f t="shared" si="49"/>
        <v/>
      </c>
      <c r="J483" s="685">
        <f t="shared" si="50"/>
        <v>0</v>
      </c>
      <c r="K483" s="1260"/>
      <c r="L483" s="1253"/>
      <c r="M483" s="1259"/>
      <c r="N483" s="719"/>
      <c r="O483" s="720"/>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53"/>
        <v>0</v>
      </c>
      <c r="AQ483" s="42"/>
      <c r="AR483" s="42"/>
      <c r="AS483" s="42"/>
      <c r="AT483" s="43"/>
      <c r="AU483" s="687">
        <f t="shared" si="54"/>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1"/>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55"/>
        <v>0</v>
      </c>
      <c r="DO483" s="683"/>
    </row>
    <row r="484" spans="1:119" ht="25.5" customHeight="1" thickTop="1" thickBot="1" x14ac:dyDescent="0.25">
      <c r="A484" s="676">
        <f t="shared" si="52"/>
        <v>469</v>
      </c>
      <c r="B484" s="1054"/>
      <c r="C484" s="1055"/>
      <c r="D484" s="83"/>
      <c r="E484" s="954"/>
      <c r="F484" s="52"/>
      <c r="G484" s="103"/>
      <c r="H484" s="1058"/>
      <c r="I484" s="684" t="str">
        <f t="shared" si="49"/>
        <v/>
      </c>
      <c r="J484" s="685">
        <f t="shared" si="50"/>
        <v>0</v>
      </c>
      <c r="K484" s="1260"/>
      <c r="L484" s="1253"/>
      <c r="M484" s="1259"/>
      <c r="N484" s="719"/>
      <c r="O484" s="720"/>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53"/>
        <v>0</v>
      </c>
      <c r="AQ484" s="42"/>
      <c r="AR484" s="42"/>
      <c r="AS484" s="42"/>
      <c r="AT484" s="43"/>
      <c r="AU484" s="687">
        <f t="shared" si="54"/>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1"/>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55"/>
        <v>0</v>
      </c>
      <c r="DO484" s="683"/>
    </row>
    <row r="485" spans="1:119" ht="25.5" customHeight="1" thickTop="1" thickBot="1" x14ac:dyDescent="0.25">
      <c r="A485" s="676">
        <f t="shared" si="52"/>
        <v>470</v>
      </c>
      <c r="B485" s="1054"/>
      <c r="C485" s="1055"/>
      <c r="D485" s="83"/>
      <c r="E485" s="954"/>
      <c r="F485" s="52"/>
      <c r="G485" s="103"/>
      <c r="H485" s="1058"/>
      <c r="I485" s="684" t="str">
        <f t="shared" si="49"/>
        <v/>
      </c>
      <c r="J485" s="685">
        <f t="shared" si="50"/>
        <v>0</v>
      </c>
      <c r="K485" s="1260"/>
      <c r="L485" s="1253"/>
      <c r="M485" s="1259"/>
      <c r="N485" s="719"/>
      <c r="O485" s="720"/>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53"/>
        <v>0</v>
      </c>
      <c r="AQ485" s="42"/>
      <c r="AR485" s="42"/>
      <c r="AS485" s="42"/>
      <c r="AT485" s="43"/>
      <c r="AU485" s="687">
        <f t="shared" si="54"/>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1"/>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55"/>
        <v>0</v>
      </c>
      <c r="DO485" s="683"/>
    </row>
    <row r="486" spans="1:119" ht="25.5" customHeight="1" thickTop="1" thickBot="1" x14ac:dyDescent="0.25">
      <c r="A486" s="676">
        <f t="shared" si="52"/>
        <v>471</v>
      </c>
      <c r="B486" s="1054"/>
      <c r="C486" s="1055"/>
      <c r="D486" s="83"/>
      <c r="E486" s="954"/>
      <c r="F486" s="52"/>
      <c r="G486" s="103"/>
      <c r="H486" s="1058"/>
      <c r="I486" s="684" t="str">
        <f t="shared" si="49"/>
        <v/>
      </c>
      <c r="J486" s="685">
        <f t="shared" si="50"/>
        <v>0</v>
      </c>
      <c r="K486" s="1260"/>
      <c r="L486" s="1253"/>
      <c r="M486" s="1259"/>
      <c r="N486" s="719"/>
      <c r="O486" s="720"/>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53"/>
        <v>0</v>
      </c>
      <c r="AQ486" s="42"/>
      <c r="AR486" s="42"/>
      <c r="AS486" s="42"/>
      <c r="AT486" s="43"/>
      <c r="AU486" s="687">
        <f t="shared" si="54"/>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1"/>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55"/>
        <v>0</v>
      </c>
      <c r="DO486" s="683"/>
    </row>
    <row r="487" spans="1:119" ht="25.5" customHeight="1" thickTop="1" thickBot="1" x14ac:dyDescent="0.25">
      <c r="A487" s="676">
        <f t="shared" si="52"/>
        <v>472</v>
      </c>
      <c r="B487" s="1054"/>
      <c r="C487" s="1055"/>
      <c r="D487" s="83"/>
      <c r="E487" s="954"/>
      <c r="F487" s="52"/>
      <c r="G487" s="103"/>
      <c r="H487" s="1058"/>
      <c r="I487" s="684" t="str">
        <f t="shared" si="49"/>
        <v/>
      </c>
      <c r="J487" s="685">
        <f t="shared" si="50"/>
        <v>0</v>
      </c>
      <c r="K487" s="1260"/>
      <c r="L487" s="1253"/>
      <c r="M487" s="1259"/>
      <c r="N487" s="719"/>
      <c r="O487" s="720"/>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53"/>
        <v>0</v>
      </c>
      <c r="AQ487" s="42"/>
      <c r="AR487" s="42"/>
      <c r="AS487" s="42"/>
      <c r="AT487" s="43"/>
      <c r="AU487" s="687">
        <f t="shared" si="54"/>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1"/>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55"/>
        <v>0</v>
      </c>
      <c r="DO487" s="683"/>
    </row>
    <row r="488" spans="1:119" ht="25.5" customHeight="1" thickTop="1" thickBot="1" x14ac:dyDescent="0.25">
      <c r="A488" s="676">
        <f t="shared" si="52"/>
        <v>473</v>
      </c>
      <c r="B488" s="1054"/>
      <c r="C488" s="1055"/>
      <c r="D488" s="83"/>
      <c r="E488" s="954"/>
      <c r="F488" s="52"/>
      <c r="G488" s="103"/>
      <c r="H488" s="1058"/>
      <c r="I488" s="684" t="str">
        <f t="shared" si="49"/>
        <v/>
      </c>
      <c r="J488" s="685">
        <f t="shared" si="50"/>
        <v>0</v>
      </c>
      <c r="K488" s="1260"/>
      <c r="L488" s="1253"/>
      <c r="M488" s="1259"/>
      <c r="N488" s="719"/>
      <c r="O488" s="720"/>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53"/>
        <v>0</v>
      </c>
      <c r="AQ488" s="42"/>
      <c r="AR488" s="42"/>
      <c r="AS488" s="42"/>
      <c r="AT488" s="43"/>
      <c r="AU488" s="687">
        <f t="shared" si="54"/>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1"/>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55"/>
        <v>0</v>
      </c>
      <c r="DO488" s="683"/>
    </row>
    <row r="489" spans="1:119" ht="25.5" customHeight="1" thickTop="1" thickBot="1" x14ac:dyDescent="0.25">
      <c r="A489" s="676">
        <f t="shared" si="52"/>
        <v>474</v>
      </c>
      <c r="B489" s="1054"/>
      <c r="C489" s="1055"/>
      <c r="D489" s="83"/>
      <c r="E489" s="954"/>
      <c r="F489" s="52"/>
      <c r="G489" s="103"/>
      <c r="H489" s="1058"/>
      <c r="I489" s="684" t="str">
        <f t="shared" si="49"/>
        <v/>
      </c>
      <c r="J489" s="685">
        <f t="shared" si="50"/>
        <v>0</v>
      </c>
      <c r="K489" s="1260"/>
      <c r="L489" s="1253"/>
      <c r="M489" s="1259"/>
      <c r="N489" s="719"/>
      <c r="O489" s="720"/>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53"/>
        <v>0</v>
      </c>
      <c r="AQ489" s="42"/>
      <c r="AR489" s="42"/>
      <c r="AS489" s="42"/>
      <c r="AT489" s="43"/>
      <c r="AU489" s="687">
        <f t="shared" si="54"/>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1"/>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55"/>
        <v>0</v>
      </c>
      <c r="DO489" s="683"/>
    </row>
    <row r="490" spans="1:119" ht="25.5" customHeight="1" thickTop="1" thickBot="1" x14ac:dyDescent="0.25">
      <c r="A490" s="676">
        <f t="shared" si="52"/>
        <v>475</v>
      </c>
      <c r="B490" s="1054"/>
      <c r="C490" s="1055"/>
      <c r="D490" s="83"/>
      <c r="E490" s="954"/>
      <c r="F490" s="52"/>
      <c r="G490" s="103"/>
      <c r="H490" s="1058"/>
      <c r="I490" s="684" t="str">
        <f t="shared" si="49"/>
        <v/>
      </c>
      <c r="J490" s="685">
        <f t="shared" si="50"/>
        <v>0</v>
      </c>
      <c r="K490" s="1260"/>
      <c r="L490" s="1253"/>
      <c r="M490" s="1259"/>
      <c r="N490" s="719"/>
      <c r="O490" s="720"/>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53"/>
        <v>0</v>
      </c>
      <c r="AQ490" s="42"/>
      <c r="AR490" s="42"/>
      <c r="AS490" s="42"/>
      <c r="AT490" s="43"/>
      <c r="AU490" s="687">
        <f t="shared" si="54"/>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1"/>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55"/>
        <v>0</v>
      </c>
      <c r="DO490" s="683"/>
    </row>
    <row r="491" spans="1:119" ht="25.5" customHeight="1" thickTop="1" thickBot="1" x14ac:dyDescent="0.25">
      <c r="A491" s="676">
        <f t="shared" si="52"/>
        <v>476</v>
      </c>
      <c r="B491" s="1054"/>
      <c r="C491" s="1055"/>
      <c r="D491" s="83"/>
      <c r="E491" s="954"/>
      <c r="F491" s="52"/>
      <c r="G491" s="103"/>
      <c r="H491" s="1058"/>
      <c r="I491" s="684" t="str">
        <f t="shared" si="49"/>
        <v/>
      </c>
      <c r="J491" s="685">
        <f t="shared" si="50"/>
        <v>0</v>
      </c>
      <c r="K491" s="1260"/>
      <c r="L491" s="1253"/>
      <c r="M491" s="1259"/>
      <c r="N491" s="719"/>
      <c r="O491" s="720"/>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53"/>
        <v>0</v>
      </c>
      <c r="AQ491" s="42"/>
      <c r="AR491" s="42"/>
      <c r="AS491" s="42"/>
      <c r="AT491" s="43"/>
      <c r="AU491" s="687">
        <f t="shared" si="54"/>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1"/>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55"/>
        <v>0</v>
      </c>
      <c r="DO491" s="683"/>
    </row>
    <row r="492" spans="1:119" ht="25.5" customHeight="1" thickTop="1" thickBot="1" x14ac:dyDescent="0.25">
      <c r="A492" s="676">
        <f t="shared" si="52"/>
        <v>477</v>
      </c>
      <c r="B492" s="1054"/>
      <c r="C492" s="1055"/>
      <c r="D492" s="83"/>
      <c r="E492" s="954"/>
      <c r="F492" s="52"/>
      <c r="G492" s="103"/>
      <c r="H492" s="1058"/>
      <c r="I492" s="684" t="str">
        <f t="shared" si="49"/>
        <v/>
      </c>
      <c r="J492" s="685">
        <f t="shared" si="50"/>
        <v>0</v>
      </c>
      <c r="K492" s="1260"/>
      <c r="L492" s="1253"/>
      <c r="M492" s="1259"/>
      <c r="N492" s="719"/>
      <c r="O492" s="720"/>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53"/>
        <v>0</v>
      </c>
      <c r="AQ492" s="42"/>
      <c r="AR492" s="42"/>
      <c r="AS492" s="42"/>
      <c r="AT492" s="43"/>
      <c r="AU492" s="687">
        <f t="shared" si="54"/>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1"/>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55"/>
        <v>0</v>
      </c>
      <c r="DO492" s="683"/>
    </row>
    <row r="493" spans="1:119" ht="25.5" customHeight="1" thickTop="1" thickBot="1" x14ac:dyDescent="0.25">
      <c r="A493" s="676">
        <f t="shared" si="52"/>
        <v>478</v>
      </c>
      <c r="B493" s="1054"/>
      <c r="C493" s="1055"/>
      <c r="D493" s="83"/>
      <c r="E493" s="954"/>
      <c r="F493" s="52"/>
      <c r="G493" s="103"/>
      <c r="H493" s="1058"/>
      <c r="I493" s="684" t="str">
        <f t="shared" si="49"/>
        <v/>
      </c>
      <c r="J493" s="685">
        <f t="shared" si="50"/>
        <v>0</v>
      </c>
      <c r="K493" s="1260"/>
      <c r="L493" s="1253"/>
      <c r="M493" s="1259"/>
      <c r="N493" s="719"/>
      <c r="O493" s="720"/>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53"/>
        <v>0</v>
      </c>
      <c r="AQ493" s="42"/>
      <c r="AR493" s="42"/>
      <c r="AS493" s="42"/>
      <c r="AT493" s="43"/>
      <c r="AU493" s="687">
        <f t="shared" si="54"/>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1"/>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55"/>
        <v>0</v>
      </c>
      <c r="DO493" s="683"/>
    </row>
    <row r="494" spans="1:119" ht="25.5" customHeight="1" thickTop="1" thickBot="1" x14ac:dyDescent="0.25">
      <c r="A494" s="676">
        <f t="shared" si="52"/>
        <v>479</v>
      </c>
      <c r="B494" s="1054"/>
      <c r="C494" s="1055"/>
      <c r="D494" s="83"/>
      <c r="E494" s="954"/>
      <c r="F494" s="52"/>
      <c r="G494" s="103"/>
      <c r="H494" s="1058"/>
      <c r="I494" s="684" t="str">
        <f t="shared" si="49"/>
        <v/>
      </c>
      <c r="J494" s="685">
        <f t="shared" si="50"/>
        <v>0</v>
      </c>
      <c r="K494" s="1260"/>
      <c r="L494" s="1253"/>
      <c r="M494" s="1259"/>
      <c r="N494" s="719"/>
      <c r="O494" s="720"/>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53"/>
        <v>0</v>
      </c>
      <c r="AQ494" s="42"/>
      <c r="AR494" s="42"/>
      <c r="AS494" s="42"/>
      <c r="AT494" s="43"/>
      <c r="AU494" s="687">
        <f t="shared" si="54"/>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1"/>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55"/>
        <v>0</v>
      </c>
      <c r="DO494" s="683"/>
    </row>
    <row r="495" spans="1:119" ht="25.5" customHeight="1" thickTop="1" thickBot="1" x14ac:dyDescent="0.25">
      <c r="A495" s="676">
        <f t="shared" si="52"/>
        <v>480</v>
      </c>
      <c r="B495" s="1054"/>
      <c r="C495" s="1055"/>
      <c r="D495" s="83"/>
      <c r="E495" s="954"/>
      <c r="F495" s="52"/>
      <c r="G495" s="103"/>
      <c r="H495" s="1058"/>
      <c r="I495" s="684" t="str">
        <f t="shared" si="49"/>
        <v/>
      </c>
      <c r="J495" s="685">
        <f t="shared" si="50"/>
        <v>0</v>
      </c>
      <c r="K495" s="1260"/>
      <c r="L495" s="1253"/>
      <c r="M495" s="1259"/>
      <c r="N495" s="719"/>
      <c r="O495" s="720"/>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53"/>
        <v>0</v>
      </c>
      <c r="AQ495" s="42"/>
      <c r="AR495" s="42"/>
      <c r="AS495" s="42"/>
      <c r="AT495" s="43"/>
      <c r="AU495" s="687">
        <f t="shared" si="54"/>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1"/>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55"/>
        <v>0</v>
      </c>
      <c r="DO495" s="683"/>
    </row>
    <row r="496" spans="1:119" ht="25.5" customHeight="1" thickTop="1" thickBot="1" x14ac:dyDescent="0.25">
      <c r="A496" s="676">
        <f t="shared" si="52"/>
        <v>481</v>
      </c>
      <c r="B496" s="1054"/>
      <c r="C496" s="1055"/>
      <c r="D496" s="83"/>
      <c r="E496" s="954"/>
      <c r="F496" s="52"/>
      <c r="G496" s="103"/>
      <c r="H496" s="1058"/>
      <c r="I496" s="684" t="str">
        <f t="shared" si="49"/>
        <v/>
      </c>
      <c r="J496" s="685">
        <f t="shared" si="50"/>
        <v>0</v>
      </c>
      <c r="K496" s="1260"/>
      <c r="L496" s="1253"/>
      <c r="M496" s="1259"/>
      <c r="N496" s="719"/>
      <c r="O496" s="720"/>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53"/>
        <v>0</v>
      </c>
      <c r="AQ496" s="42"/>
      <c r="AR496" s="42"/>
      <c r="AS496" s="42"/>
      <c r="AT496" s="43"/>
      <c r="AU496" s="687">
        <f t="shared" si="54"/>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1"/>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55"/>
        <v>0</v>
      </c>
      <c r="DO496" s="683"/>
    </row>
    <row r="497" spans="1:119" ht="25.5" customHeight="1" thickTop="1" thickBot="1" x14ac:dyDescent="0.25">
      <c r="A497" s="676">
        <f t="shared" si="52"/>
        <v>482</v>
      </c>
      <c r="B497" s="1054"/>
      <c r="C497" s="1055"/>
      <c r="D497" s="83"/>
      <c r="E497" s="954"/>
      <c r="F497" s="52"/>
      <c r="G497" s="103"/>
      <c r="H497" s="1058"/>
      <c r="I497" s="684" t="str">
        <f t="shared" si="49"/>
        <v/>
      </c>
      <c r="J497" s="685">
        <f t="shared" si="50"/>
        <v>0</v>
      </c>
      <c r="K497" s="1260"/>
      <c r="L497" s="1253"/>
      <c r="M497" s="1259"/>
      <c r="N497" s="719"/>
      <c r="O497" s="720"/>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53"/>
        <v>0</v>
      </c>
      <c r="AQ497" s="42"/>
      <c r="AR497" s="42"/>
      <c r="AS497" s="42"/>
      <c r="AT497" s="43"/>
      <c r="AU497" s="687">
        <f t="shared" si="54"/>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1"/>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55"/>
        <v>0</v>
      </c>
      <c r="DO497" s="683"/>
    </row>
    <row r="498" spans="1:119" ht="25.5" customHeight="1" thickTop="1" thickBot="1" x14ac:dyDescent="0.25">
      <c r="A498" s="676">
        <f t="shared" si="52"/>
        <v>483</v>
      </c>
      <c r="B498" s="1054"/>
      <c r="C498" s="1055"/>
      <c r="D498" s="83"/>
      <c r="E498" s="954"/>
      <c r="F498" s="52"/>
      <c r="G498" s="103"/>
      <c r="H498" s="1058"/>
      <c r="I498" s="684" t="str">
        <f t="shared" si="49"/>
        <v/>
      </c>
      <c r="J498" s="685">
        <f t="shared" si="50"/>
        <v>0</v>
      </c>
      <c r="K498" s="1260"/>
      <c r="L498" s="1253"/>
      <c r="M498" s="1259"/>
      <c r="N498" s="719"/>
      <c r="O498" s="720"/>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53"/>
        <v>0</v>
      </c>
      <c r="AQ498" s="42"/>
      <c r="AR498" s="42"/>
      <c r="AS498" s="42"/>
      <c r="AT498" s="43"/>
      <c r="AU498" s="687">
        <f t="shared" si="54"/>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1"/>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55"/>
        <v>0</v>
      </c>
      <c r="DO498" s="683"/>
    </row>
    <row r="499" spans="1:119" ht="25.5" customHeight="1" thickTop="1" thickBot="1" x14ac:dyDescent="0.25">
      <c r="A499" s="676">
        <f t="shared" si="52"/>
        <v>484</v>
      </c>
      <c r="B499" s="1054"/>
      <c r="C499" s="1055"/>
      <c r="D499" s="83"/>
      <c r="E499" s="954"/>
      <c r="F499" s="52"/>
      <c r="G499" s="103"/>
      <c r="H499" s="1058"/>
      <c r="I499" s="684" t="str">
        <f t="shared" si="49"/>
        <v/>
      </c>
      <c r="J499" s="685">
        <f t="shared" si="50"/>
        <v>0</v>
      </c>
      <c r="K499" s="1260"/>
      <c r="L499" s="1253"/>
      <c r="M499" s="1259"/>
      <c r="N499" s="719"/>
      <c r="O499" s="720"/>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53"/>
        <v>0</v>
      </c>
      <c r="AQ499" s="42"/>
      <c r="AR499" s="42"/>
      <c r="AS499" s="42"/>
      <c r="AT499" s="43"/>
      <c r="AU499" s="687">
        <f t="shared" si="54"/>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1"/>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55"/>
        <v>0</v>
      </c>
      <c r="DO499" s="683"/>
    </row>
    <row r="500" spans="1:119" ht="25.5" customHeight="1" thickTop="1" thickBot="1" x14ac:dyDescent="0.25">
      <c r="A500" s="676">
        <f t="shared" si="52"/>
        <v>485</v>
      </c>
      <c r="B500" s="1054"/>
      <c r="C500" s="1055"/>
      <c r="D500" s="83"/>
      <c r="E500" s="954"/>
      <c r="F500" s="52"/>
      <c r="G500" s="103"/>
      <c r="H500" s="1058"/>
      <c r="I500" s="684" t="str">
        <f t="shared" si="49"/>
        <v/>
      </c>
      <c r="J500" s="685">
        <f t="shared" si="50"/>
        <v>0</v>
      </c>
      <c r="K500" s="1260"/>
      <c r="L500" s="1253"/>
      <c r="M500" s="1259"/>
      <c r="N500" s="719"/>
      <c r="O500" s="720"/>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53"/>
        <v>0</v>
      </c>
      <c r="AQ500" s="42"/>
      <c r="AR500" s="42"/>
      <c r="AS500" s="42"/>
      <c r="AT500" s="43"/>
      <c r="AU500" s="687">
        <f t="shared" si="54"/>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1"/>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55"/>
        <v>0</v>
      </c>
      <c r="DO500" s="683"/>
    </row>
    <row r="501" spans="1:119" ht="25.5" customHeight="1" thickTop="1" thickBot="1" x14ac:dyDescent="0.25">
      <c r="A501" s="676">
        <f t="shared" si="52"/>
        <v>486</v>
      </c>
      <c r="B501" s="1054"/>
      <c r="C501" s="1055"/>
      <c r="D501" s="83"/>
      <c r="E501" s="954"/>
      <c r="F501" s="52"/>
      <c r="G501" s="103"/>
      <c r="H501" s="1058"/>
      <c r="I501" s="684" t="str">
        <f t="shared" si="49"/>
        <v/>
      </c>
      <c r="J501" s="685">
        <f t="shared" si="50"/>
        <v>0</v>
      </c>
      <c r="K501" s="1260"/>
      <c r="L501" s="1253"/>
      <c r="M501" s="1259"/>
      <c r="N501" s="719"/>
      <c r="O501" s="720"/>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53"/>
        <v>0</v>
      </c>
      <c r="AQ501" s="42"/>
      <c r="AR501" s="42"/>
      <c r="AS501" s="42"/>
      <c r="AT501" s="43"/>
      <c r="AU501" s="687">
        <f t="shared" si="54"/>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1"/>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55"/>
        <v>0</v>
      </c>
      <c r="DO501" s="683"/>
    </row>
    <row r="502" spans="1:119" ht="25.5" customHeight="1" thickTop="1" thickBot="1" x14ac:dyDescent="0.25">
      <c r="A502" s="676">
        <f t="shared" si="52"/>
        <v>487</v>
      </c>
      <c r="B502" s="1054"/>
      <c r="C502" s="1055"/>
      <c r="D502" s="83"/>
      <c r="E502" s="954"/>
      <c r="F502" s="52"/>
      <c r="G502" s="103"/>
      <c r="H502" s="1058"/>
      <c r="I502" s="684" t="str">
        <f t="shared" si="49"/>
        <v/>
      </c>
      <c r="J502" s="685">
        <f t="shared" si="50"/>
        <v>0</v>
      </c>
      <c r="K502" s="1260"/>
      <c r="L502" s="1253"/>
      <c r="M502" s="1259"/>
      <c r="N502" s="719"/>
      <c r="O502" s="720"/>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53"/>
        <v>0</v>
      </c>
      <c r="AQ502" s="42"/>
      <c r="AR502" s="42"/>
      <c r="AS502" s="42"/>
      <c r="AT502" s="43"/>
      <c r="AU502" s="687">
        <f t="shared" si="54"/>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1"/>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55"/>
        <v>0</v>
      </c>
      <c r="DO502" s="683"/>
    </row>
    <row r="503" spans="1:119" ht="25.5" customHeight="1" thickTop="1" thickBot="1" x14ac:dyDescent="0.25">
      <c r="A503" s="676">
        <f t="shared" si="52"/>
        <v>488</v>
      </c>
      <c r="B503" s="1054"/>
      <c r="C503" s="1055"/>
      <c r="D503" s="83"/>
      <c r="E503" s="954"/>
      <c r="F503" s="52"/>
      <c r="G503" s="103"/>
      <c r="H503" s="1058"/>
      <c r="I503" s="684" t="str">
        <f t="shared" si="49"/>
        <v/>
      </c>
      <c r="J503" s="685">
        <f t="shared" si="50"/>
        <v>0</v>
      </c>
      <c r="K503" s="1260"/>
      <c r="L503" s="1253"/>
      <c r="M503" s="1259"/>
      <c r="N503" s="719"/>
      <c r="O503" s="720"/>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53"/>
        <v>0</v>
      </c>
      <c r="AQ503" s="42"/>
      <c r="AR503" s="42"/>
      <c r="AS503" s="42"/>
      <c r="AT503" s="43"/>
      <c r="AU503" s="687">
        <f t="shared" si="54"/>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1"/>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55"/>
        <v>0</v>
      </c>
      <c r="DO503" s="683"/>
    </row>
    <row r="504" spans="1:119" ht="25.5" customHeight="1" thickTop="1" thickBot="1" x14ac:dyDescent="0.25">
      <c r="A504" s="676">
        <f t="shared" si="52"/>
        <v>489</v>
      </c>
      <c r="B504" s="1054"/>
      <c r="C504" s="1055"/>
      <c r="D504" s="83"/>
      <c r="E504" s="954"/>
      <c r="F504" s="52"/>
      <c r="G504" s="103"/>
      <c r="H504" s="1058"/>
      <c r="I504" s="684" t="str">
        <f t="shared" si="49"/>
        <v/>
      </c>
      <c r="J504" s="685">
        <f t="shared" si="50"/>
        <v>0</v>
      </c>
      <c r="K504" s="1260"/>
      <c r="L504" s="1253"/>
      <c r="M504" s="1259"/>
      <c r="N504" s="719"/>
      <c r="O504" s="720"/>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53"/>
        <v>0</v>
      </c>
      <c r="AQ504" s="42"/>
      <c r="AR504" s="42"/>
      <c r="AS504" s="42"/>
      <c r="AT504" s="43"/>
      <c r="AU504" s="687">
        <f t="shared" si="54"/>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1"/>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55"/>
        <v>0</v>
      </c>
      <c r="DO504" s="683"/>
    </row>
    <row r="505" spans="1:119" ht="25.5" customHeight="1" thickTop="1" thickBot="1" x14ac:dyDescent="0.25">
      <c r="A505" s="676">
        <f t="shared" si="52"/>
        <v>490</v>
      </c>
      <c r="B505" s="1054"/>
      <c r="C505" s="1055"/>
      <c r="D505" s="83"/>
      <c r="E505" s="954"/>
      <c r="F505" s="52"/>
      <c r="G505" s="103"/>
      <c r="H505" s="1058"/>
      <c r="I505" s="684" t="str">
        <f t="shared" si="49"/>
        <v/>
      </c>
      <c r="J505" s="685">
        <f t="shared" si="50"/>
        <v>0</v>
      </c>
      <c r="K505" s="1260"/>
      <c r="L505" s="1253"/>
      <c r="M505" s="1259"/>
      <c r="N505" s="719"/>
      <c r="O505" s="720"/>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53"/>
        <v>0</v>
      </c>
      <c r="AQ505" s="42"/>
      <c r="AR505" s="42"/>
      <c r="AS505" s="42"/>
      <c r="AT505" s="43"/>
      <c r="AU505" s="687">
        <f t="shared" si="54"/>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1"/>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55"/>
        <v>0</v>
      </c>
      <c r="DO505" s="683"/>
    </row>
    <row r="506" spans="1:119" ht="25.5" customHeight="1" thickTop="1" thickBot="1" x14ac:dyDescent="0.25">
      <c r="A506" s="676">
        <f t="shared" si="52"/>
        <v>491</v>
      </c>
      <c r="B506" s="1054"/>
      <c r="C506" s="1055"/>
      <c r="D506" s="83"/>
      <c r="E506" s="954"/>
      <c r="F506" s="52"/>
      <c r="G506" s="103"/>
      <c r="H506" s="1058"/>
      <c r="I506" s="684" t="str">
        <f t="shared" si="49"/>
        <v/>
      </c>
      <c r="J506" s="685">
        <f t="shared" si="50"/>
        <v>0</v>
      </c>
      <c r="K506" s="1260"/>
      <c r="L506" s="1253"/>
      <c r="M506" s="1259"/>
      <c r="N506" s="719"/>
      <c r="O506" s="720"/>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53"/>
        <v>0</v>
      </c>
      <c r="AQ506" s="42"/>
      <c r="AR506" s="42"/>
      <c r="AS506" s="42"/>
      <c r="AT506" s="43"/>
      <c r="AU506" s="687">
        <f t="shared" si="54"/>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1"/>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55"/>
        <v>0</v>
      </c>
      <c r="DO506" s="683"/>
    </row>
    <row r="507" spans="1:119" ht="25.5" customHeight="1" thickTop="1" thickBot="1" x14ac:dyDescent="0.25">
      <c r="A507" s="676">
        <f t="shared" si="52"/>
        <v>492</v>
      </c>
      <c r="B507" s="1054"/>
      <c r="C507" s="1055"/>
      <c r="D507" s="83"/>
      <c r="E507" s="954"/>
      <c r="F507" s="52"/>
      <c r="G507" s="103"/>
      <c r="H507" s="1058"/>
      <c r="I507" s="684" t="str">
        <f t="shared" si="49"/>
        <v/>
      </c>
      <c r="J507" s="685">
        <f t="shared" si="50"/>
        <v>0</v>
      </c>
      <c r="K507" s="1260"/>
      <c r="L507" s="1253"/>
      <c r="M507" s="1259"/>
      <c r="N507" s="719"/>
      <c r="O507" s="720"/>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53"/>
        <v>0</v>
      </c>
      <c r="AQ507" s="42"/>
      <c r="AR507" s="42"/>
      <c r="AS507" s="42"/>
      <c r="AT507" s="43"/>
      <c r="AU507" s="687">
        <f t="shared" si="54"/>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1"/>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55"/>
        <v>0</v>
      </c>
      <c r="DO507" s="683"/>
    </row>
    <row r="508" spans="1:119" ht="25.5" customHeight="1" thickTop="1" thickBot="1" x14ac:dyDescent="0.25">
      <c r="A508" s="676">
        <f t="shared" si="52"/>
        <v>493</v>
      </c>
      <c r="B508" s="1054"/>
      <c r="C508" s="1055"/>
      <c r="D508" s="83"/>
      <c r="E508" s="954"/>
      <c r="F508" s="52"/>
      <c r="G508" s="103"/>
      <c r="H508" s="1058"/>
      <c r="I508" s="684" t="str">
        <f t="shared" si="49"/>
        <v/>
      </c>
      <c r="J508" s="685">
        <f t="shared" si="50"/>
        <v>0</v>
      </c>
      <c r="K508" s="1260"/>
      <c r="L508" s="1253"/>
      <c r="M508" s="1259"/>
      <c r="N508" s="719"/>
      <c r="O508" s="720"/>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53"/>
        <v>0</v>
      </c>
      <c r="AQ508" s="42"/>
      <c r="AR508" s="42"/>
      <c r="AS508" s="42"/>
      <c r="AT508" s="43"/>
      <c r="AU508" s="687">
        <f t="shared" si="54"/>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1"/>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55"/>
        <v>0</v>
      </c>
      <c r="DO508" s="683"/>
    </row>
    <row r="509" spans="1:119" ht="25.5" customHeight="1" thickTop="1" thickBot="1" x14ac:dyDescent="0.25">
      <c r="A509" s="676">
        <f t="shared" si="52"/>
        <v>494</v>
      </c>
      <c r="B509" s="1054"/>
      <c r="C509" s="1055"/>
      <c r="D509" s="83"/>
      <c r="E509" s="954"/>
      <c r="F509" s="52"/>
      <c r="G509" s="103"/>
      <c r="H509" s="1058"/>
      <c r="I509" s="684" t="str">
        <f t="shared" si="49"/>
        <v/>
      </c>
      <c r="J509" s="685">
        <f t="shared" si="50"/>
        <v>0</v>
      </c>
      <c r="K509" s="1260"/>
      <c r="L509" s="1253"/>
      <c r="M509" s="1259"/>
      <c r="N509" s="719"/>
      <c r="O509" s="720"/>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53"/>
        <v>0</v>
      </c>
      <c r="AQ509" s="42"/>
      <c r="AR509" s="42"/>
      <c r="AS509" s="42"/>
      <c r="AT509" s="43"/>
      <c r="AU509" s="687">
        <f t="shared" si="54"/>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1"/>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55"/>
        <v>0</v>
      </c>
      <c r="DO509" s="683"/>
    </row>
    <row r="510" spans="1:119" ht="25.5" customHeight="1" thickTop="1" thickBot="1" x14ac:dyDescent="0.25">
      <c r="A510" s="676">
        <f t="shared" si="52"/>
        <v>495</v>
      </c>
      <c r="B510" s="1054"/>
      <c r="C510" s="1055"/>
      <c r="D510" s="83"/>
      <c r="E510" s="954"/>
      <c r="F510" s="52"/>
      <c r="G510" s="103"/>
      <c r="H510" s="1058"/>
      <c r="I510" s="684" t="str">
        <f t="shared" si="49"/>
        <v/>
      </c>
      <c r="J510" s="685">
        <f t="shared" si="50"/>
        <v>0</v>
      </c>
      <c r="K510" s="1260"/>
      <c r="L510" s="1253"/>
      <c r="M510" s="1259"/>
      <c r="N510" s="719"/>
      <c r="O510" s="720"/>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53"/>
        <v>0</v>
      </c>
      <c r="AQ510" s="42"/>
      <c r="AR510" s="42"/>
      <c r="AS510" s="42"/>
      <c r="AT510" s="43"/>
      <c r="AU510" s="687">
        <f t="shared" si="54"/>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1"/>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55"/>
        <v>0</v>
      </c>
      <c r="DO510" s="683"/>
    </row>
    <row r="511" spans="1:119" ht="25.5" customHeight="1" thickTop="1" thickBot="1" x14ac:dyDescent="0.25">
      <c r="A511" s="676">
        <f t="shared" si="52"/>
        <v>496</v>
      </c>
      <c r="B511" s="1054"/>
      <c r="C511" s="1055"/>
      <c r="D511" s="83"/>
      <c r="E511" s="954"/>
      <c r="F511" s="52"/>
      <c r="G511" s="103"/>
      <c r="H511" s="1058"/>
      <c r="I511" s="684" t="str">
        <f t="shared" si="49"/>
        <v/>
      </c>
      <c r="J511" s="685">
        <f t="shared" si="50"/>
        <v>0</v>
      </c>
      <c r="K511" s="1260"/>
      <c r="L511" s="1253"/>
      <c r="M511" s="1259"/>
      <c r="N511" s="719"/>
      <c r="O511" s="720"/>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53"/>
        <v>0</v>
      </c>
      <c r="AQ511" s="42"/>
      <c r="AR511" s="42"/>
      <c r="AS511" s="42"/>
      <c r="AT511" s="43"/>
      <c r="AU511" s="687">
        <f t="shared" si="54"/>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1"/>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55"/>
        <v>0</v>
      </c>
      <c r="DO511" s="683"/>
    </row>
    <row r="512" spans="1:119" ht="25.5" customHeight="1" thickTop="1" thickBot="1" x14ac:dyDescent="0.25">
      <c r="A512" s="676">
        <f t="shared" si="52"/>
        <v>497</v>
      </c>
      <c r="B512" s="1054"/>
      <c r="C512" s="1055"/>
      <c r="D512" s="83"/>
      <c r="E512" s="954"/>
      <c r="F512" s="52"/>
      <c r="G512" s="103"/>
      <c r="H512" s="1058"/>
      <c r="I512" s="684" t="str">
        <f t="shared" si="49"/>
        <v/>
      </c>
      <c r="J512" s="685">
        <f t="shared" si="50"/>
        <v>0</v>
      </c>
      <c r="K512" s="1260"/>
      <c r="L512" s="1253"/>
      <c r="M512" s="1259"/>
      <c r="N512" s="719"/>
      <c r="O512" s="720"/>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53"/>
        <v>0</v>
      </c>
      <c r="AQ512" s="42"/>
      <c r="AR512" s="42"/>
      <c r="AS512" s="42"/>
      <c r="AT512" s="43"/>
      <c r="AU512" s="687">
        <f t="shared" si="54"/>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1"/>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55"/>
        <v>0</v>
      </c>
      <c r="DO512" s="683"/>
    </row>
    <row r="513" spans="1:119" ht="25.5" customHeight="1" thickTop="1" thickBot="1" x14ac:dyDescent="0.25">
      <c r="A513" s="676">
        <f t="shared" si="52"/>
        <v>498</v>
      </c>
      <c r="B513" s="1054"/>
      <c r="C513" s="1055"/>
      <c r="D513" s="83"/>
      <c r="E513" s="954"/>
      <c r="F513" s="52"/>
      <c r="G513" s="103"/>
      <c r="H513" s="1058"/>
      <c r="I513" s="684" t="str">
        <f t="shared" si="49"/>
        <v/>
      </c>
      <c r="J513" s="685">
        <f t="shared" si="50"/>
        <v>0</v>
      </c>
      <c r="K513" s="1260"/>
      <c r="L513" s="1253"/>
      <c r="M513" s="1259"/>
      <c r="N513" s="719"/>
      <c r="O513" s="720"/>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53"/>
        <v>0</v>
      </c>
      <c r="AQ513" s="42"/>
      <c r="AR513" s="42"/>
      <c r="AS513" s="42"/>
      <c r="AT513" s="43"/>
      <c r="AU513" s="687">
        <f t="shared" si="54"/>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1"/>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55"/>
        <v>0</v>
      </c>
      <c r="DO513" s="683"/>
    </row>
    <row r="514" spans="1:119" ht="25.5" customHeight="1" thickTop="1" thickBot="1" x14ac:dyDescent="0.25">
      <c r="A514" s="676">
        <f t="shared" si="52"/>
        <v>499</v>
      </c>
      <c r="B514" s="1054"/>
      <c r="C514" s="1055"/>
      <c r="D514" s="83"/>
      <c r="E514" s="954"/>
      <c r="F514" s="52"/>
      <c r="G514" s="103"/>
      <c r="H514" s="1058"/>
      <c r="I514" s="684" t="str">
        <f t="shared" si="49"/>
        <v/>
      </c>
      <c r="J514" s="685">
        <f t="shared" si="50"/>
        <v>0</v>
      </c>
      <c r="K514" s="1260"/>
      <c r="L514" s="1253"/>
      <c r="M514" s="1259"/>
      <c r="N514" s="719"/>
      <c r="O514" s="720"/>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53"/>
        <v>0</v>
      </c>
      <c r="AQ514" s="42"/>
      <c r="AR514" s="42"/>
      <c r="AS514" s="42"/>
      <c r="AT514" s="43"/>
      <c r="AU514" s="687">
        <f t="shared" si="54"/>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1"/>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55"/>
        <v>0</v>
      </c>
      <c r="DO514" s="683"/>
    </row>
    <row r="515" spans="1:119" ht="25.5" customHeight="1" thickTop="1" thickBot="1" x14ac:dyDescent="0.25">
      <c r="A515" s="676">
        <f t="shared" si="52"/>
        <v>500</v>
      </c>
      <c r="B515" s="1054"/>
      <c r="C515" s="1055"/>
      <c r="D515" s="83"/>
      <c r="E515" s="954"/>
      <c r="F515" s="52"/>
      <c r="G515" s="103"/>
      <c r="H515" s="1058"/>
      <c r="I515" s="689" t="str">
        <f t="shared" si="49"/>
        <v/>
      </c>
      <c r="J515" s="685">
        <f t="shared" si="50"/>
        <v>0</v>
      </c>
      <c r="K515" s="1260"/>
      <c r="L515" s="1253"/>
      <c r="M515" s="1259"/>
      <c r="N515" s="719"/>
      <c r="O515" s="720"/>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53"/>
        <v>0</v>
      </c>
      <c r="AQ515" s="42"/>
      <c r="AR515" s="42"/>
      <c r="AS515" s="42"/>
      <c r="AT515" s="43"/>
      <c r="AU515" s="691">
        <f t="shared" si="54"/>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1"/>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55"/>
        <v>0</v>
      </c>
      <c r="DO515" s="605"/>
    </row>
    <row r="516" spans="1:119" ht="13.5" thickBot="1" x14ac:dyDescent="0.25">
      <c r="D516" s="1486" t="str">
        <f>IF(D4=2,"TOTAUX","TOTALS")</f>
        <v>TOTALS</v>
      </c>
      <c r="E516" s="1486"/>
      <c r="F516" s="1486"/>
      <c r="G516" s="692">
        <f>SUM(G16:G515)</f>
        <v>0</v>
      </c>
      <c r="H516" s="693"/>
      <c r="I516" s="694"/>
      <c r="J516" s="695">
        <f>+SUM(J16:J515)</f>
        <v>0</v>
      </c>
      <c r="K516" s="1261">
        <f>+SUM(K16:K515)</f>
        <v>0</v>
      </c>
      <c r="L516" s="1261">
        <f>+SUM(L16:L515)</f>
        <v>0</v>
      </c>
      <c r="M516" s="1262">
        <f>+SUM(M16:M515)</f>
        <v>0</v>
      </c>
      <c r="N516" s="696"/>
      <c r="O516" s="696"/>
      <c r="P516" s="697">
        <f t="shared" ref="P516:BD516" si="56">+SUM(P16:P515)</f>
        <v>0</v>
      </c>
      <c r="Q516" s="698">
        <f t="shared" si="56"/>
        <v>0</v>
      </c>
      <c r="R516" s="698">
        <f t="shared" si="56"/>
        <v>0</v>
      </c>
      <c r="S516" s="698">
        <f t="shared" si="56"/>
        <v>0</v>
      </c>
      <c r="T516" s="698">
        <f t="shared" si="56"/>
        <v>0</v>
      </c>
      <c r="U516" s="698">
        <f t="shared" si="56"/>
        <v>0</v>
      </c>
      <c r="V516" s="698">
        <f t="shared" si="56"/>
        <v>0</v>
      </c>
      <c r="W516" s="698">
        <f t="shared" si="56"/>
        <v>0</v>
      </c>
      <c r="X516" s="698">
        <f t="shared" si="56"/>
        <v>0</v>
      </c>
      <c r="Y516" s="698">
        <f t="shared" si="56"/>
        <v>0</v>
      </c>
      <c r="Z516" s="698">
        <f t="shared" si="56"/>
        <v>0</v>
      </c>
      <c r="AA516" s="698">
        <f t="shared" si="56"/>
        <v>0</v>
      </c>
      <c r="AB516" s="698">
        <f t="shared" si="56"/>
        <v>0</v>
      </c>
      <c r="AC516" s="698">
        <f t="shared" si="56"/>
        <v>0</v>
      </c>
      <c r="AD516" s="698">
        <f t="shared" si="56"/>
        <v>0</v>
      </c>
      <c r="AE516" s="698">
        <f t="shared" si="56"/>
        <v>0</v>
      </c>
      <c r="AF516" s="698">
        <f t="shared" si="56"/>
        <v>0</v>
      </c>
      <c r="AG516" s="698">
        <f t="shared" si="56"/>
        <v>0</v>
      </c>
      <c r="AH516" s="698">
        <f t="shared" si="56"/>
        <v>0</v>
      </c>
      <c r="AI516" s="698">
        <f t="shared" si="56"/>
        <v>0</v>
      </c>
      <c r="AJ516" s="698">
        <f t="shared" si="56"/>
        <v>0</v>
      </c>
      <c r="AK516" s="698">
        <f t="shared" si="56"/>
        <v>0</v>
      </c>
      <c r="AL516" s="698">
        <f t="shared" si="56"/>
        <v>0</v>
      </c>
      <c r="AM516" s="698">
        <f t="shared" si="56"/>
        <v>0</v>
      </c>
      <c r="AN516" s="698">
        <f t="shared" si="56"/>
        <v>0</v>
      </c>
      <c r="AO516" s="699">
        <f t="shared" si="56"/>
        <v>0</v>
      </c>
      <c r="AP516" s="700">
        <f t="shared" si="56"/>
        <v>0</v>
      </c>
      <c r="AQ516" s="701">
        <f t="shared" si="56"/>
        <v>0</v>
      </c>
      <c r="AR516" s="701">
        <f t="shared" si="56"/>
        <v>0</v>
      </c>
      <c r="AS516" s="701">
        <f t="shared" si="56"/>
        <v>0</v>
      </c>
      <c r="AT516" s="702">
        <f t="shared" si="56"/>
        <v>0</v>
      </c>
      <c r="AU516" s="703">
        <f t="shared" si="56"/>
        <v>0</v>
      </c>
      <c r="AV516" s="701">
        <f t="shared" si="56"/>
        <v>0</v>
      </c>
      <c r="AW516" s="701">
        <f t="shared" si="56"/>
        <v>0</v>
      </c>
      <c r="AX516" s="701">
        <f t="shared" si="56"/>
        <v>0</v>
      </c>
      <c r="AY516" s="702">
        <f t="shared" si="56"/>
        <v>0</v>
      </c>
      <c r="AZ516" s="704">
        <f t="shared" si="56"/>
        <v>0</v>
      </c>
      <c r="BA516" s="698">
        <f t="shared" si="56"/>
        <v>0</v>
      </c>
      <c r="BB516" s="698">
        <f t="shared" si="56"/>
        <v>0</v>
      </c>
      <c r="BC516" s="698">
        <f t="shared" si="56"/>
        <v>0</v>
      </c>
      <c r="BD516" s="698">
        <f t="shared" si="56"/>
        <v>0</v>
      </c>
      <c r="BE516" s="698">
        <f t="shared" ref="BE516:CX516" si="57">+SUM(BE16:BE515)</f>
        <v>0</v>
      </c>
      <c r="BF516" s="698">
        <f t="shared" si="57"/>
        <v>0</v>
      </c>
      <c r="BG516" s="698">
        <f t="shared" si="57"/>
        <v>0</v>
      </c>
      <c r="BH516" s="698">
        <f t="shared" si="57"/>
        <v>0</v>
      </c>
      <c r="BI516" s="698">
        <f t="shared" si="57"/>
        <v>0</v>
      </c>
      <c r="BJ516" s="698">
        <f t="shared" si="57"/>
        <v>0</v>
      </c>
      <c r="BK516" s="698">
        <f t="shared" si="57"/>
        <v>0</v>
      </c>
      <c r="BL516" s="698">
        <f t="shared" si="57"/>
        <v>0</v>
      </c>
      <c r="BM516" s="698">
        <f t="shared" si="57"/>
        <v>0</v>
      </c>
      <c r="BN516" s="698">
        <f t="shared" si="57"/>
        <v>0</v>
      </c>
      <c r="BO516" s="698">
        <f t="shared" si="57"/>
        <v>0</v>
      </c>
      <c r="BP516" s="698">
        <f t="shared" si="57"/>
        <v>0</v>
      </c>
      <c r="BQ516" s="698">
        <f t="shared" si="57"/>
        <v>0</v>
      </c>
      <c r="BR516" s="698">
        <f t="shared" si="57"/>
        <v>0</v>
      </c>
      <c r="BS516" s="698">
        <f t="shared" si="57"/>
        <v>0</v>
      </c>
      <c r="BT516" s="698">
        <f t="shared" si="57"/>
        <v>0</v>
      </c>
      <c r="BU516" s="698">
        <f t="shared" si="57"/>
        <v>0</v>
      </c>
      <c r="BV516" s="698">
        <f t="shared" si="57"/>
        <v>0</v>
      </c>
      <c r="BW516" s="705">
        <f t="shared" si="57"/>
        <v>0</v>
      </c>
      <c r="BX516" s="698">
        <f t="shared" si="57"/>
        <v>0</v>
      </c>
      <c r="BY516" s="698">
        <f t="shared" si="57"/>
        <v>0</v>
      </c>
      <c r="BZ516" s="698">
        <f t="shared" si="57"/>
        <v>0</v>
      </c>
      <c r="CA516" s="698">
        <f t="shared" si="57"/>
        <v>0</v>
      </c>
      <c r="CB516" s="698">
        <f t="shared" si="57"/>
        <v>0</v>
      </c>
      <c r="CC516" s="698">
        <f t="shared" si="57"/>
        <v>0</v>
      </c>
      <c r="CD516" s="706">
        <f t="shared" si="57"/>
        <v>0</v>
      </c>
      <c r="CE516" s="707">
        <f t="shared" si="57"/>
        <v>0</v>
      </c>
      <c r="CF516" s="698">
        <f t="shared" si="57"/>
        <v>0</v>
      </c>
      <c r="CG516" s="698">
        <f t="shared" si="57"/>
        <v>0</v>
      </c>
      <c r="CH516" s="698">
        <f t="shared" si="57"/>
        <v>0</v>
      </c>
      <c r="CI516" s="698">
        <f t="shared" si="57"/>
        <v>0</v>
      </c>
      <c r="CJ516" s="698">
        <f t="shared" si="57"/>
        <v>0</v>
      </c>
      <c r="CK516" s="698">
        <f t="shared" si="57"/>
        <v>0</v>
      </c>
      <c r="CL516" s="699">
        <f t="shared" si="57"/>
        <v>0</v>
      </c>
      <c r="CM516" s="697">
        <f t="shared" si="57"/>
        <v>0</v>
      </c>
      <c r="CN516" s="698">
        <f t="shared" si="57"/>
        <v>0</v>
      </c>
      <c r="CO516" s="698">
        <f t="shared" si="57"/>
        <v>0</v>
      </c>
      <c r="CP516" s="698">
        <f t="shared" si="57"/>
        <v>0</v>
      </c>
      <c r="CQ516" s="698">
        <f t="shared" si="57"/>
        <v>0</v>
      </c>
      <c r="CR516" s="698">
        <f t="shared" si="57"/>
        <v>0</v>
      </c>
      <c r="CS516" s="698">
        <f t="shared" si="57"/>
        <v>0</v>
      </c>
      <c r="CT516" s="698">
        <f t="shared" si="57"/>
        <v>0</v>
      </c>
      <c r="CU516" s="698">
        <f t="shared" si="57"/>
        <v>0</v>
      </c>
      <c r="CV516" s="697">
        <f t="shared" si="57"/>
        <v>0</v>
      </c>
      <c r="CW516" s="698">
        <f t="shared" si="57"/>
        <v>0</v>
      </c>
      <c r="CX516" s="698">
        <f t="shared" si="57"/>
        <v>0</v>
      </c>
      <c r="CY516" s="698">
        <f t="shared" ref="CY516:DM516" si="58">+SUM(CY16:CY515)</f>
        <v>0</v>
      </c>
      <c r="CZ516" s="698">
        <f t="shared" si="58"/>
        <v>0</v>
      </c>
      <c r="DA516" s="698">
        <f t="shared" si="58"/>
        <v>0</v>
      </c>
      <c r="DB516" s="698">
        <f t="shared" si="58"/>
        <v>0</v>
      </c>
      <c r="DC516" s="698">
        <f t="shared" si="58"/>
        <v>0</v>
      </c>
      <c r="DD516" s="698">
        <f t="shared" si="58"/>
        <v>0</v>
      </c>
      <c r="DE516" s="697">
        <f t="shared" si="58"/>
        <v>0</v>
      </c>
      <c r="DF516" s="698">
        <f t="shared" si="58"/>
        <v>0</v>
      </c>
      <c r="DG516" s="698">
        <f t="shared" si="58"/>
        <v>0</v>
      </c>
      <c r="DH516" s="698">
        <f t="shared" si="58"/>
        <v>0</v>
      </c>
      <c r="DI516" s="698">
        <f t="shared" si="58"/>
        <v>0</v>
      </c>
      <c r="DJ516" s="698">
        <f t="shared" si="58"/>
        <v>0</v>
      </c>
      <c r="DK516" s="698">
        <f t="shared" si="58"/>
        <v>0</v>
      </c>
      <c r="DL516" s="699">
        <f t="shared" si="58"/>
        <v>0</v>
      </c>
      <c r="DM516" s="708">
        <f t="shared" si="58"/>
        <v>0</v>
      </c>
      <c r="DN516" s="1"/>
      <c r="DO516" s="605"/>
    </row>
    <row r="517" spans="1:119" ht="13.5" thickTop="1" x14ac:dyDescent="0.2">
      <c r="D517" s="1487"/>
      <c r="E517" s="1487"/>
      <c r="F517" s="1487"/>
      <c r="G517" s="82"/>
      <c r="H517" s="18"/>
      <c r="I517" s="18"/>
      <c r="J517" s="18"/>
      <c r="K517" s="18"/>
      <c r="L517" s="18"/>
      <c r="M517" s="18"/>
      <c r="N517" s="18"/>
      <c r="O517" s="18"/>
      <c r="P517" s="79"/>
      <c r="BB517" s="1504"/>
      <c r="BC517" s="1504"/>
      <c r="BD517" s="1504"/>
      <c r="BE517" s="1504"/>
      <c r="BF517" s="1504"/>
      <c r="BG517" s="1504"/>
      <c r="BH517" s="1504"/>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2">
      <c r="E518" s="1482" t="str">
        <f>IF(D4=2,"Montant total réconcilié","RECONCILED TOTAL")</f>
        <v>RECONCILED TOTAL</v>
      </c>
      <c r="F518" s="1482"/>
      <c r="G518" s="711">
        <f>SUMIF(B16:B515,B6,G16:G515)</f>
        <v>0</v>
      </c>
      <c r="H518" s="108"/>
    </row>
    <row r="519" spans="1:119" x14ac:dyDescent="0.2">
      <c r="E519" s="12"/>
      <c r="G519" s="712"/>
    </row>
    <row r="520" spans="1:119" ht="22.5" customHeight="1" x14ac:dyDescent="0.2">
      <c r="E520" s="1482" t="str">
        <f>IF(D4=2,"Montant total non réconcilié","UNRECONCILED TOTAL")</f>
        <v>UNRECONCILED TOTAL</v>
      </c>
      <c r="F520" s="1482"/>
      <c r="G520" s="711">
        <f>G516-G518</f>
        <v>0</v>
      </c>
      <c r="H520" s="108"/>
      <c r="M520" s="713"/>
      <c r="N520" s="1"/>
      <c r="O520" s="1"/>
      <c r="P520" s="1"/>
    </row>
    <row r="521" spans="1:119" ht="12.75" customHeight="1" x14ac:dyDescent="0.2">
      <c r="E521" s="12"/>
      <c r="G521" s="19"/>
      <c r="H521" s="1505" t="str">
        <f>IF(D4=2,"Montants non-réconciliés","Unreconciled Amounts")</f>
        <v>Unreconciled Amounts</v>
      </c>
      <c r="M521" s="713"/>
      <c r="N521" s="1"/>
      <c r="O521" s="1"/>
      <c r="P521" s="1"/>
    </row>
    <row r="522" spans="1:119" ht="12.75" customHeight="1" x14ac:dyDescent="0.2">
      <c r="E522" s="1506" t="str">
        <f>'Set up ~ Config'!F43</f>
        <v>Asset Accounts</v>
      </c>
      <c r="F522" s="1506"/>
      <c r="G522" s="714">
        <v>988</v>
      </c>
      <c r="H522" s="1505"/>
      <c r="N522" s="1"/>
      <c r="P522" s="1"/>
    </row>
    <row r="523" spans="1:119" ht="22.5" customHeight="1" x14ac:dyDescent="0.2">
      <c r="C523" s="12"/>
      <c r="E523" s="1488" t="str">
        <f>CONCATENATE('Set up ~ Config'!F45&amp;" "&amp;'Set up ~ Config'!G45)</f>
        <v>1010 - Other Cash in hand</v>
      </c>
      <c r="F523" s="1489"/>
      <c r="G523" s="715">
        <f>SUMIF($I$16:$I$515,$N523,$G$16:$G$515)</f>
        <v>0</v>
      </c>
      <c r="H523" s="716">
        <f>SUMIFS($G$16:$G$515,$B$16:$B$515,"",$I$16:$I$515,$N523)</f>
        <v>0</v>
      </c>
      <c r="K523" s="717"/>
      <c r="N523" s="865" t="str">
        <f>'Set up ~ Config'!$AG17</f>
        <v>1010</v>
      </c>
      <c r="O523" s="12" t="str">
        <f t="shared" ref="O523:O567" si="59">E523</f>
        <v>1010 - Other Cash in hand</v>
      </c>
    </row>
    <row r="524" spans="1:119" ht="22.5" customHeight="1" x14ac:dyDescent="0.2">
      <c r="C524" s="12"/>
      <c r="E524" s="1488" t="str">
        <f>CONCATENATE('Set up ~ Config'!F46&amp;" "&amp;'Set up ~ Config'!G46)</f>
        <v>1015 - Main Bank Account</v>
      </c>
      <c r="F524" s="1489"/>
      <c r="G524" s="715">
        <f t="shared" ref="G524:G567" si="60">SUMIF($I$16:$I$515,$N524,$G$16:$G$515)</f>
        <v>0</v>
      </c>
      <c r="H524" s="716">
        <f t="shared" ref="H524:H567" si="61">SUMIFS($G$16:$G$515,$B$16:$B$515,"",$I$16:$I$515,$N524)</f>
        <v>0</v>
      </c>
      <c r="K524" s="717"/>
      <c r="N524" s="865" t="str">
        <f>'Set up ~ Config'!$AG18</f>
        <v>1015</v>
      </c>
      <c r="O524" s="12" t="str">
        <f t="shared" si="59"/>
        <v>1015 - Main Bank Account</v>
      </c>
    </row>
    <row r="525" spans="1:119" ht="22.5" customHeight="1" x14ac:dyDescent="0.2">
      <c r="B525" s="18"/>
      <c r="C525" s="12"/>
      <c r="D525" s="718"/>
      <c r="E525" s="1488" t="str">
        <f>CONCATENATE('Set up ~ Config'!F47&amp;" "&amp;'Set up ~ Config'!G47)</f>
        <v>1020 - Canteen</v>
      </c>
      <c r="F525" s="1489"/>
      <c r="G525" s="715">
        <f t="shared" si="60"/>
        <v>0</v>
      </c>
      <c r="H525" s="716">
        <f t="shared" si="61"/>
        <v>0</v>
      </c>
      <c r="K525" s="717"/>
      <c r="N525" s="865" t="str">
        <f>'Set up ~ Config'!$AG19</f>
        <v>1020</v>
      </c>
      <c r="O525" s="12" t="str">
        <f t="shared" si="59"/>
        <v>1020 - Canteen</v>
      </c>
    </row>
    <row r="526" spans="1:119" ht="22.5" customHeight="1" x14ac:dyDescent="0.2">
      <c r="B526" s="18"/>
      <c r="C526" s="12"/>
      <c r="D526" s="718"/>
      <c r="E526" s="1488" t="str">
        <f>CONCATENATE('Set up ~ Config'!F48&amp;" "&amp;'Set up ~ Config'!G48)</f>
        <v>1025 - Petty Cash</v>
      </c>
      <c r="F526" s="1489"/>
      <c r="G526" s="715">
        <f t="shared" si="60"/>
        <v>0</v>
      </c>
      <c r="H526" s="716">
        <f t="shared" si="61"/>
        <v>0</v>
      </c>
      <c r="K526" s="717"/>
      <c r="N526" s="865" t="str">
        <f>'Set up ~ Config'!$AG20</f>
        <v>1025</v>
      </c>
      <c r="O526" s="12" t="str">
        <f t="shared" si="59"/>
        <v>1025 - Petty Cash</v>
      </c>
    </row>
    <row r="527" spans="1:119" ht="22.5" customHeight="1" x14ac:dyDescent="0.2">
      <c r="B527" s="18"/>
      <c r="C527" s="12"/>
      <c r="D527" s="718"/>
      <c r="E527" s="1488" t="str">
        <f>CONCATENATE('Set up ~ Config'!F49&amp;" "&amp;'Set up ~ Config'!G49)</f>
        <v>1030 - Receivables - Short Term</v>
      </c>
      <c r="F527" s="1489"/>
      <c r="G527" s="715">
        <f t="shared" si="60"/>
        <v>0</v>
      </c>
      <c r="H527" s="716">
        <f t="shared" si="61"/>
        <v>0</v>
      </c>
      <c r="K527" s="717"/>
      <c r="N527" s="865" t="str">
        <f>'Set up ~ Config'!$AG21</f>
        <v>1030</v>
      </c>
      <c r="O527" s="12" t="str">
        <f t="shared" si="59"/>
        <v>1030 - Receivables - Short Term</v>
      </c>
    </row>
    <row r="528" spans="1:119" ht="22.5" customHeight="1" x14ac:dyDescent="0.2">
      <c r="B528" s="18"/>
      <c r="C528" s="12"/>
      <c r="D528" s="718"/>
      <c r="E528" s="1488" t="str">
        <f>CONCATENATE('Set up ~ Config'!F50&amp;" "&amp;'Set up ~ Config'!G50)</f>
        <v>1035 - Disponible ~ Available</v>
      </c>
      <c r="F528" s="1489"/>
      <c r="G528" s="715">
        <f t="shared" si="60"/>
        <v>0</v>
      </c>
      <c r="H528" s="716">
        <f t="shared" si="61"/>
        <v>0</v>
      </c>
      <c r="K528" s="717"/>
      <c r="N528" s="865" t="str">
        <f>'Set up ~ Config'!$AG22</f>
        <v>1035</v>
      </c>
      <c r="O528" s="12" t="str">
        <f t="shared" si="59"/>
        <v>1035 - Disponible ~ Available</v>
      </c>
    </row>
    <row r="529" spans="2:15" ht="22.5" customHeight="1" x14ac:dyDescent="0.2">
      <c r="B529" s="18"/>
      <c r="C529" s="12"/>
      <c r="D529" s="718"/>
      <c r="E529" s="1488" t="str">
        <f>CONCATENATE('Set up ~ Config'!F51&amp;" "&amp;'Set up ~ Config'!G51)</f>
        <v>1040 - Disponible ~ Available</v>
      </c>
      <c r="F529" s="1489"/>
      <c r="G529" s="715">
        <f t="shared" si="60"/>
        <v>0</v>
      </c>
      <c r="H529" s="716">
        <f t="shared" si="61"/>
        <v>0</v>
      </c>
      <c r="K529" s="717"/>
      <c r="N529" s="865" t="str">
        <f>'Set up ~ Config'!$AG23</f>
        <v>1040</v>
      </c>
      <c r="O529" s="12" t="str">
        <f t="shared" si="59"/>
        <v>1040 - Disponible ~ Available</v>
      </c>
    </row>
    <row r="530" spans="2:15" ht="22.5" customHeight="1" x14ac:dyDescent="0.2">
      <c r="B530" s="18"/>
      <c r="C530" s="12"/>
      <c r="D530" s="718"/>
      <c r="E530" s="1488" t="str">
        <f>CONCATENATE('Set up ~ Config'!F52&amp;" "&amp;'Set up ~ Config'!G52)</f>
        <v>1045 - Disponible ~ Available</v>
      </c>
      <c r="F530" s="1489"/>
      <c r="G530" s="715">
        <f t="shared" si="60"/>
        <v>0</v>
      </c>
      <c r="H530" s="716">
        <f t="shared" si="61"/>
        <v>0</v>
      </c>
      <c r="K530" s="717"/>
      <c r="N530" s="865" t="str">
        <f>'Set up ~ Config'!$AG24</f>
        <v>1045</v>
      </c>
      <c r="O530" s="12" t="str">
        <f t="shared" si="59"/>
        <v>1045 - Disponible ~ Available</v>
      </c>
    </row>
    <row r="531" spans="2:15" ht="22.5" customHeight="1" x14ac:dyDescent="0.2">
      <c r="C531" s="12"/>
      <c r="D531" s="718"/>
      <c r="E531" s="1488" t="str">
        <f>CONCATENATE('Set up ~ Config'!F53&amp;" "&amp;'Set up ~ Config'!G53)</f>
        <v>1050 - Disponible ~ Available</v>
      </c>
      <c r="F531" s="1489"/>
      <c r="G531" s="715">
        <f t="shared" si="60"/>
        <v>0</v>
      </c>
      <c r="H531" s="716">
        <f t="shared" si="61"/>
        <v>0</v>
      </c>
      <c r="K531" s="717"/>
      <c r="N531" s="865" t="str">
        <f>'Set up ~ Config'!$AG25</f>
        <v>1050</v>
      </c>
      <c r="O531" s="12" t="str">
        <f t="shared" si="59"/>
        <v>1050 - Disponible ~ Available</v>
      </c>
    </row>
    <row r="532" spans="2:15" ht="22.5" customHeight="1" x14ac:dyDescent="0.2">
      <c r="C532" s="12"/>
      <c r="E532" s="1488" t="str">
        <f>CONCATENATE('Set up ~ Config'!F54&amp;" "&amp;'Set up ~ Config'!G54)</f>
        <v>1055 - Disponible ~ Available</v>
      </c>
      <c r="F532" s="1489"/>
      <c r="G532" s="715">
        <f t="shared" si="60"/>
        <v>0</v>
      </c>
      <c r="H532" s="716">
        <f t="shared" si="61"/>
        <v>0</v>
      </c>
      <c r="K532" s="717"/>
      <c r="L532" s="604"/>
      <c r="N532" s="865" t="str">
        <f>'Set up ~ Config'!$AG26</f>
        <v>1055</v>
      </c>
      <c r="O532" s="12" t="str">
        <f t="shared" si="59"/>
        <v>1055 - Disponible ~ Available</v>
      </c>
    </row>
    <row r="533" spans="2:15" ht="22.5" customHeight="1" x14ac:dyDescent="0.2">
      <c r="C533" s="12"/>
      <c r="E533" s="1488" t="str">
        <f>CONCATENATE('Set up ~ Config'!F55&amp;" "&amp;'Set up ~ Config'!G55)</f>
        <v>1060 - Disponible ~ Available</v>
      </c>
      <c r="F533" s="1489"/>
      <c r="G533" s="715">
        <f t="shared" si="60"/>
        <v>0</v>
      </c>
      <c r="H533" s="716">
        <f t="shared" si="61"/>
        <v>0</v>
      </c>
      <c r="K533" s="717"/>
      <c r="N533" s="865" t="str">
        <f>'Set up ~ Config'!$AG27</f>
        <v>1060</v>
      </c>
      <c r="O533" s="12" t="str">
        <f t="shared" si="59"/>
        <v>1060 - Disponible ~ Available</v>
      </c>
    </row>
    <row r="534" spans="2:15" ht="22.5" customHeight="1" x14ac:dyDescent="0.2">
      <c r="C534" s="12"/>
      <c r="E534" s="1488" t="str">
        <f>CONCATENATE('Set up ~ Config'!F56&amp;" "&amp;'Set up ~ Config'!G56)</f>
        <v>1065 - Disponible ~ Available</v>
      </c>
      <c r="F534" s="1489"/>
      <c r="G534" s="715">
        <f t="shared" si="60"/>
        <v>0</v>
      </c>
      <c r="H534" s="716">
        <f t="shared" si="61"/>
        <v>0</v>
      </c>
      <c r="K534" s="717"/>
      <c r="N534" s="865" t="str">
        <f>'Set up ~ Config'!$AG28</f>
        <v>1065</v>
      </c>
      <c r="O534" s="12" t="str">
        <f t="shared" si="59"/>
        <v>1065 - Disponible ~ Available</v>
      </c>
    </row>
    <row r="535" spans="2:15" ht="22.5" customHeight="1" x14ac:dyDescent="0.2">
      <c r="E535" s="1488" t="str">
        <f>CONCATENATE('Set up ~ Config'!F57&amp;" "&amp;'Set up ~ Config'!G57)</f>
        <v>1070 - Disponible ~ Available</v>
      </c>
      <c r="F535" s="1489"/>
      <c r="G535" s="715">
        <f t="shared" si="60"/>
        <v>0</v>
      </c>
      <c r="H535" s="716">
        <f t="shared" si="61"/>
        <v>0</v>
      </c>
      <c r="K535" s="717"/>
      <c r="N535" s="865" t="str">
        <f>'Set up ~ Config'!$AG29</f>
        <v>1070</v>
      </c>
      <c r="O535" s="12" t="str">
        <f t="shared" si="59"/>
        <v>1070 - Disponible ~ Available</v>
      </c>
    </row>
    <row r="536" spans="2:15" ht="22.5" customHeight="1" x14ac:dyDescent="0.2">
      <c r="E536" s="1488" t="str">
        <f>CONCATENATE('Set up ~ Config'!F58&amp;" "&amp;'Set up ~ Config'!G58)</f>
        <v>1075 - Disponible ~ Available</v>
      </c>
      <c r="F536" s="1489"/>
      <c r="G536" s="715">
        <f t="shared" si="60"/>
        <v>0</v>
      </c>
      <c r="H536" s="716">
        <f t="shared" si="61"/>
        <v>0</v>
      </c>
      <c r="K536" s="717"/>
      <c r="N536" s="865" t="str">
        <f>'Set up ~ Config'!$AG30</f>
        <v>1075</v>
      </c>
      <c r="O536" s="12" t="str">
        <f t="shared" si="59"/>
        <v>1075 - Disponible ~ Available</v>
      </c>
    </row>
    <row r="537" spans="2:15" ht="22.5" customHeight="1" x14ac:dyDescent="0.2">
      <c r="E537" s="1488" t="str">
        <f>CONCATENATE('Set up ~ Config'!F59&amp;" "&amp;'Set up ~ Config'!G59)</f>
        <v>1080 - Disponible ~ Available</v>
      </c>
      <c r="F537" s="1489"/>
      <c r="G537" s="715">
        <f t="shared" si="60"/>
        <v>0</v>
      </c>
      <c r="H537" s="716">
        <f t="shared" si="61"/>
        <v>0</v>
      </c>
      <c r="K537" s="717"/>
      <c r="N537" s="865" t="str">
        <f>'Set up ~ Config'!$AG31</f>
        <v>1080</v>
      </c>
      <c r="O537" s="12" t="str">
        <f t="shared" si="59"/>
        <v>1080 - Disponible ~ Available</v>
      </c>
    </row>
    <row r="538" spans="2:15" ht="22.5" customHeight="1" x14ac:dyDescent="0.2">
      <c r="E538" s="1488" t="str">
        <f>CONCATENATE('Set up ~ Config'!F60&amp;" "&amp;'Set up ~ Config'!G60)</f>
        <v>1085 - Disponible ~ Available</v>
      </c>
      <c r="F538" s="1489"/>
      <c r="G538" s="715">
        <f t="shared" si="60"/>
        <v>0</v>
      </c>
      <c r="H538" s="716">
        <f t="shared" si="61"/>
        <v>0</v>
      </c>
      <c r="K538" s="717"/>
      <c r="N538" s="865" t="str">
        <f>'Set up ~ Config'!$AG32</f>
        <v>1085</v>
      </c>
      <c r="O538" s="12" t="str">
        <f t="shared" si="59"/>
        <v>1085 - Disponible ~ Available</v>
      </c>
    </row>
    <row r="539" spans="2:15" ht="22.5" customHeight="1" x14ac:dyDescent="0.2">
      <c r="E539" s="1488" t="str">
        <f>CONCATENATE('Set up ~ Config'!F61&amp;" "&amp;'Set up ~ Config'!G61)</f>
        <v>1090 - Disponible ~ Available</v>
      </c>
      <c r="F539" s="1489"/>
      <c r="G539" s="715">
        <f t="shared" si="60"/>
        <v>0</v>
      </c>
      <c r="H539" s="716">
        <f t="shared" si="61"/>
        <v>0</v>
      </c>
      <c r="K539" s="717"/>
      <c r="N539" s="865" t="str">
        <f>'Set up ~ Config'!$AG33</f>
        <v>1090</v>
      </c>
      <c r="O539" s="12" t="str">
        <f t="shared" si="59"/>
        <v>1090 - Disponible ~ Available</v>
      </c>
    </row>
    <row r="540" spans="2:15" ht="22.5" customHeight="1" x14ac:dyDescent="0.2">
      <c r="E540" s="1488" t="str">
        <f>CONCATENATE('Set up ~ Config'!F62&amp;" "&amp;'Set up ~ Config'!G62)</f>
        <v>1095 - Disponible ~ Available</v>
      </c>
      <c r="F540" s="1489"/>
      <c r="G540" s="715">
        <f t="shared" si="60"/>
        <v>0</v>
      </c>
      <c r="H540" s="716">
        <f t="shared" si="61"/>
        <v>0</v>
      </c>
      <c r="K540" s="717"/>
      <c r="N540" s="865">
        <f>'Set up ~ Config'!$AG34</f>
        <v>0</v>
      </c>
      <c r="O540" s="12" t="str">
        <f t="shared" si="59"/>
        <v>1095 - Disponible ~ Available</v>
      </c>
    </row>
    <row r="541" spans="2:15" ht="22.5" customHeight="1" x14ac:dyDescent="0.2">
      <c r="E541" s="1488" t="str">
        <f>CONCATENATE('Set up ~ Config'!F64&amp;" "&amp;'Set up ~ Config'!G64)</f>
        <v>1210 - Investments GICs</v>
      </c>
      <c r="F541" s="1489"/>
      <c r="G541" s="715">
        <f t="shared" si="60"/>
        <v>0</v>
      </c>
      <c r="H541" s="716">
        <f t="shared" si="61"/>
        <v>0</v>
      </c>
      <c r="K541" s="717"/>
      <c r="N541" s="865" t="str">
        <f>'Set up ~ Config'!$AG35</f>
        <v>1210</v>
      </c>
      <c r="O541" s="12" t="str">
        <f t="shared" si="59"/>
        <v>1210 - Investments GICs</v>
      </c>
    </row>
    <row r="542" spans="2:15" ht="22.5" customHeight="1" x14ac:dyDescent="0.2">
      <c r="E542" s="1488" t="str">
        <f>CONCATENATE('Set up ~ Config'!F65&amp;" "&amp;'Set up ~ Config'!G65)</f>
        <v>1220 - Investments (Mutual Funds and such)</v>
      </c>
      <c r="F542" s="1489"/>
      <c r="G542" s="715">
        <f t="shared" si="60"/>
        <v>0</v>
      </c>
      <c r="H542" s="716">
        <f t="shared" si="61"/>
        <v>0</v>
      </c>
      <c r="K542" s="717"/>
      <c r="N542" s="865" t="str">
        <f>'Set up ~ Config'!$AG36</f>
        <v>1220</v>
      </c>
      <c r="O542" s="12" t="str">
        <f t="shared" si="59"/>
        <v>1220 - Investments (Mutual Funds and such)</v>
      </c>
    </row>
    <row r="543" spans="2:15" ht="22.5" customHeight="1" x14ac:dyDescent="0.2">
      <c r="E543" s="1488" t="str">
        <f>CONCATENATE('Set up ~ Config'!F66&amp;" "&amp;'Set up ~ Config'!G66)</f>
        <v>1230 - Disponible ~ Available</v>
      </c>
      <c r="F543" s="1489"/>
      <c r="G543" s="715">
        <f t="shared" si="60"/>
        <v>0</v>
      </c>
      <c r="H543" s="716">
        <f t="shared" si="61"/>
        <v>0</v>
      </c>
      <c r="K543" s="717"/>
      <c r="N543" s="865" t="str">
        <f>'Set up ~ Config'!$AG37</f>
        <v>1230</v>
      </c>
      <c r="O543" s="12" t="str">
        <f t="shared" si="59"/>
        <v>1230 - Disponible ~ Available</v>
      </c>
    </row>
    <row r="544" spans="2:15" ht="22.5" customHeight="1" x14ac:dyDescent="0.2">
      <c r="E544" s="1488" t="str">
        <f>CONCATENATE('Set up ~ Config'!F67&amp;" "&amp;'Set up ~ Config'!G67)</f>
        <v>1240 - Disponible ~ Available</v>
      </c>
      <c r="F544" s="1489"/>
      <c r="G544" s="715">
        <f t="shared" si="60"/>
        <v>0</v>
      </c>
      <c r="H544" s="716">
        <f t="shared" si="61"/>
        <v>0</v>
      </c>
      <c r="K544" s="717"/>
      <c r="N544" s="865" t="str">
        <f>'Set up ~ Config'!$AG38</f>
        <v>1240</v>
      </c>
      <c r="O544" s="12" t="str">
        <f t="shared" si="59"/>
        <v>1240 - Disponible ~ Available</v>
      </c>
    </row>
    <row r="545" spans="5:15" ht="22.5" customHeight="1" x14ac:dyDescent="0.2">
      <c r="E545" s="1488" t="str">
        <f>CONCATENATE('Set up ~ Config'!F68&amp;" "&amp;'Set up ~ Config'!G68)</f>
        <v>1250 - Disponible ~ Available</v>
      </c>
      <c r="F545" s="1489"/>
      <c r="G545" s="715">
        <f t="shared" si="60"/>
        <v>0</v>
      </c>
      <c r="H545" s="716">
        <f t="shared" si="61"/>
        <v>0</v>
      </c>
      <c r="K545" s="717"/>
      <c r="N545" s="865" t="str">
        <f>'Set up ~ Config'!$AG39</f>
        <v>1250</v>
      </c>
      <c r="O545" s="12" t="str">
        <f t="shared" si="59"/>
        <v>1250 - Disponible ~ Available</v>
      </c>
    </row>
    <row r="546" spans="5:15" ht="22.5" customHeight="1" x14ac:dyDescent="0.2">
      <c r="E546" s="1488" t="str">
        <f>CONCATENATE('Set up ~ Config'!F69&amp;" "&amp;'Set up ~ Config'!G69)</f>
        <v>1260 - Disponible ~ Available</v>
      </c>
      <c r="F546" s="1489"/>
      <c r="G546" s="715">
        <f t="shared" si="60"/>
        <v>0</v>
      </c>
      <c r="H546" s="716">
        <f t="shared" si="61"/>
        <v>0</v>
      </c>
      <c r="K546" s="717"/>
      <c r="N546" s="865" t="str">
        <f>'Set up ~ Config'!$AG40</f>
        <v>1260</v>
      </c>
      <c r="O546" s="12" t="str">
        <f t="shared" si="59"/>
        <v>1260 - Disponible ~ Available</v>
      </c>
    </row>
    <row r="547" spans="5:15" ht="22.5" customHeight="1" x14ac:dyDescent="0.2">
      <c r="E547" s="1488" t="str">
        <f>CONCATENATE('Set up ~ Config'!F70&amp;" "&amp;'Set up ~ Config'!G70)</f>
        <v>1270 - Disponible ~ Available</v>
      </c>
      <c r="F547" s="1489"/>
      <c r="G547" s="715">
        <f t="shared" si="60"/>
        <v>0</v>
      </c>
      <c r="H547" s="716">
        <f t="shared" si="61"/>
        <v>0</v>
      </c>
      <c r="K547" s="717"/>
      <c r="N547" s="865" t="str">
        <f>'Set up ~ Config'!$AG41</f>
        <v>1270</v>
      </c>
      <c r="O547" s="12" t="str">
        <f t="shared" si="59"/>
        <v>1270 - Disponible ~ Available</v>
      </c>
    </row>
    <row r="548" spans="5:15" ht="22.5" customHeight="1" x14ac:dyDescent="0.2">
      <c r="E548" s="1488" t="str">
        <f>CONCATENATE('Set up ~ Config'!F71&amp;" "&amp;'Set up ~ Config'!G71)</f>
        <v>1280 - Disponible ~ Available</v>
      </c>
      <c r="F548" s="1489"/>
      <c r="G548" s="715">
        <f t="shared" si="60"/>
        <v>0</v>
      </c>
      <c r="H548" s="716">
        <f t="shared" si="61"/>
        <v>0</v>
      </c>
      <c r="K548" s="717"/>
      <c r="N548" s="865" t="str">
        <f>'Set up ~ Config'!$AG42</f>
        <v>1280</v>
      </c>
      <c r="O548" s="12" t="str">
        <f t="shared" si="59"/>
        <v>1280 - Disponible ~ Available</v>
      </c>
    </row>
    <row r="549" spans="5:15" ht="22.5" customHeight="1" x14ac:dyDescent="0.2">
      <c r="E549" s="1488" t="str">
        <f>CONCATENATE('Set up ~ Config'!F72&amp;" "&amp;'Set up ~ Config'!G72)</f>
        <v>1290 - Disponible ~ Available</v>
      </c>
      <c r="F549" s="1489"/>
      <c r="G549" s="715">
        <f t="shared" si="60"/>
        <v>0</v>
      </c>
      <c r="H549" s="716">
        <f t="shared" si="61"/>
        <v>0</v>
      </c>
      <c r="K549" s="717"/>
      <c r="N549" s="865" t="str">
        <f>'Set up ~ Config'!$AG43</f>
        <v>1290</v>
      </c>
      <c r="O549" s="12" t="str">
        <f t="shared" si="59"/>
        <v>1290 - Disponible ~ Available</v>
      </c>
    </row>
    <row r="550" spans="5:15" ht="22.5" customHeight="1" x14ac:dyDescent="0.2">
      <c r="E550" s="1488" t="str">
        <f>CONCATENATE('Set up ~ Config'!F76&amp;" "&amp;'Set up ~ Config'!G76)</f>
        <v>2010 - Credit Card</v>
      </c>
      <c r="F550" s="1489"/>
      <c r="G550" s="715">
        <f t="shared" si="60"/>
        <v>0</v>
      </c>
      <c r="H550" s="716">
        <f t="shared" si="61"/>
        <v>0</v>
      </c>
      <c r="K550" s="717"/>
      <c r="N550" s="865" t="str">
        <f>'Set up ~ Config'!$AG44</f>
        <v>2010</v>
      </c>
      <c r="O550" s="12" t="str">
        <f t="shared" si="59"/>
        <v>2010 - Credit Card</v>
      </c>
    </row>
    <row r="551" spans="5:15" ht="22.5" customHeight="1" x14ac:dyDescent="0.2">
      <c r="E551" s="1488" t="str">
        <f>CONCATENATE('Set up ~ Config'!F77&amp;" "&amp;'Set up ~ Config'!G77)</f>
        <v>2020 - Payables - Short Terms</v>
      </c>
      <c r="F551" s="1489"/>
      <c r="G551" s="715">
        <f t="shared" si="60"/>
        <v>0</v>
      </c>
      <c r="H551" s="716">
        <f t="shared" si="61"/>
        <v>0</v>
      </c>
      <c r="K551" s="717"/>
      <c r="N551" s="865" t="str">
        <f>'Set up ~ Config'!$AG45</f>
        <v>2020</v>
      </c>
      <c r="O551" s="12" t="str">
        <f t="shared" si="59"/>
        <v>2020 - Payables - Short Terms</v>
      </c>
    </row>
    <row r="552" spans="5:15" ht="22.5" customHeight="1" x14ac:dyDescent="0.2">
      <c r="E552" s="1488" t="str">
        <f>CONCATENATE('Set up ~ Config'!F78&amp;" "&amp;'Set up ~ Config'!G78)</f>
        <v>2030 - Disponible ~ Available</v>
      </c>
      <c r="F552" s="1489"/>
      <c r="G552" s="715">
        <f t="shared" si="60"/>
        <v>0</v>
      </c>
      <c r="H552" s="716">
        <f t="shared" si="61"/>
        <v>0</v>
      </c>
      <c r="K552" s="717"/>
      <c r="N552" s="865" t="str">
        <f>'Set up ~ Config'!$AG46</f>
        <v>2030</v>
      </c>
      <c r="O552" s="12" t="str">
        <f t="shared" si="59"/>
        <v>2030 - Disponible ~ Available</v>
      </c>
    </row>
    <row r="553" spans="5:15" ht="22.5" customHeight="1" x14ac:dyDescent="0.2">
      <c r="E553" s="1488" t="str">
        <f>CONCATENATE('Set up ~ Config'!F79&amp;" "&amp;'Set up ~ Config'!G79)</f>
        <v>2040 - Disponible ~ Available</v>
      </c>
      <c r="F553" s="1489"/>
      <c r="G553" s="715">
        <f t="shared" si="60"/>
        <v>0</v>
      </c>
      <c r="H553" s="716">
        <f t="shared" si="61"/>
        <v>0</v>
      </c>
      <c r="K553" s="717"/>
      <c r="N553" s="865" t="str">
        <f>'Set up ~ Config'!$AG47</f>
        <v>2040</v>
      </c>
      <c r="O553" s="12" t="str">
        <f t="shared" si="59"/>
        <v>2040 - Disponible ~ Available</v>
      </c>
    </row>
    <row r="554" spans="5:15" ht="22.5" customHeight="1" x14ac:dyDescent="0.2">
      <c r="E554" s="1488" t="str">
        <f>CONCATENATE('Set up ~ Config'!F80&amp;" "&amp;'Set up ~ Config'!G80)</f>
        <v>2050 - Disponible ~ Available</v>
      </c>
      <c r="F554" s="1489"/>
      <c r="G554" s="715">
        <f t="shared" si="60"/>
        <v>0</v>
      </c>
      <c r="H554" s="716">
        <f t="shared" si="61"/>
        <v>0</v>
      </c>
      <c r="K554" s="717"/>
      <c r="N554" s="865" t="str">
        <f>'Set up ~ Config'!$AG48</f>
        <v>2050</v>
      </c>
      <c r="O554" s="12" t="str">
        <f t="shared" si="59"/>
        <v>2050 - Disponible ~ Available</v>
      </c>
    </row>
    <row r="555" spans="5:15" ht="22.5" customHeight="1" x14ac:dyDescent="0.2">
      <c r="E555" s="1488" t="str">
        <f>CONCATENATE('Set up ~ Config'!F81&amp;" "&amp;'Set up ~ Config'!G81)</f>
        <v>2060 - Disponible ~ Available</v>
      </c>
      <c r="F555" s="1489"/>
      <c r="G555" s="715">
        <f t="shared" si="60"/>
        <v>0</v>
      </c>
      <c r="H555" s="716">
        <f t="shared" si="61"/>
        <v>0</v>
      </c>
      <c r="K555" s="717"/>
      <c r="N555" s="865" t="str">
        <f>'Set up ~ Config'!$AG49</f>
        <v>2060</v>
      </c>
      <c r="O555" s="12" t="str">
        <f t="shared" si="59"/>
        <v>2060 - Disponible ~ Available</v>
      </c>
    </row>
    <row r="556" spans="5:15" ht="22.5" customHeight="1" x14ac:dyDescent="0.2">
      <c r="E556" s="1488" t="str">
        <f>CONCATENATE('Set up ~ Config'!F82&amp;" "&amp;'Set up ~ Config'!G82)</f>
        <v>2070 - Disponible ~ Available</v>
      </c>
      <c r="F556" s="1489"/>
      <c r="G556" s="715">
        <f t="shared" si="60"/>
        <v>0</v>
      </c>
      <c r="H556" s="716">
        <f t="shared" si="61"/>
        <v>0</v>
      </c>
      <c r="K556" s="717"/>
      <c r="N556" s="865" t="str">
        <f>'Set up ~ Config'!$AG50</f>
        <v>2070</v>
      </c>
      <c r="O556" s="12" t="str">
        <f t="shared" si="59"/>
        <v>2070 - Disponible ~ Available</v>
      </c>
    </row>
    <row r="557" spans="5:15" ht="22.5" customHeight="1" x14ac:dyDescent="0.2">
      <c r="E557" s="1488" t="str">
        <f>CONCATENATE('Set up ~ Config'!F83&amp;" "&amp;'Set up ~ Config'!G83)</f>
        <v>2080 - Disponible ~ Available</v>
      </c>
      <c r="F557" s="1489"/>
      <c r="G557" s="715">
        <f t="shared" si="60"/>
        <v>0</v>
      </c>
      <c r="H557" s="716">
        <f t="shared" si="61"/>
        <v>0</v>
      </c>
      <c r="K557" s="717"/>
      <c r="N557" s="865" t="str">
        <f>'Set up ~ Config'!$AG51</f>
        <v>2080</v>
      </c>
      <c r="O557" s="12" t="str">
        <f t="shared" si="59"/>
        <v>2080 - Disponible ~ Available</v>
      </c>
    </row>
    <row r="558" spans="5:15" ht="22.5" customHeight="1" x14ac:dyDescent="0.2">
      <c r="E558" s="1488" t="str">
        <f>CONCATENATE('Set up ~ Config'!F84&amp;" "&amp;'Set up ~ Config'!G84)</f>
        <v>2090 - Disponible ~ Available</v>
      </c>
      <c r="F558" s="1489"/>
      <c r="G558" s="715">
        <f t="shared" si="60"/>
        <v>0</v>
      </c>
      <c r="H558" s="716">
        <f t="shared" si="61"/>
        <v>0</v>
      </c>
      <c r="K558" s="717"/>
      <c r="N558" s="865" t="str">
        <f>'Set up ~ Config'!$AG52</f>
        <v>2090</v>
      </c>
      <c r="O558" s="12" t="str">
        <f t="shared" si="59"/>
        <v>2090 - Disponible ~ Available</v>
      </c>
    </row>
    <row r="559" spans="5:15" ht="22.5" customHeight="1" x14ac:dyDescent="0.2">
      <c r="E559" s="1488" t="str">
        <f>CONCATENATE('Set up ~ Config'!F86&amp;" "&amp;'Set up ~ Config'!G86)</f>
        <v>2210 - Mortgage</v>
      </c>
      <c r="F559" s="1489"/>
      <c r="G559" s="715">
        <f t="shared" si="60"/>
        <v>0</v>
      </c>
      <c r="H559" s="716">
        <f t="shared" si="61"/>
        <v>0</v>
      </c>
      <c r="K559" s="717"/>
      <c r="N559" s="865" t="str">
        <f>'Set up ~ Config'!$AG53</f>
        <v>2210</v>
      </c>
      <c r="O559" s="12" t="str">
        <f t="shared" si="59"/>
        <v>2210 - Mortgage</v>
      </c>
    </row>
    <row r="560" spans="5:15" ht="22.5" customHeight="1" x14ac:dyDescent="0.2">
      <c r="E560" s="1488" t="str">
        <f>CONCATENATE('Set up ~ Config'!F87&amp;" "&amp;'Set up ~ Config'!G87)</f>
        <v>2220 - Bank Loan</v>
      </c>
      <c r="F560" s="1489"/>
      <c r="G560" s="715">
        <f t="shared" si="60"/>
        <v>0</v>
      </c>
      <c r="H560" s="716">
        <f t="shared" si="61"/>
        <v>0</v>
      </c>
      <c r="K560" s="717"/>
      <c r="N560" s="865" t="str">
        <f>'Set up ~ Config'!$AG54</f>
        <v>2220</v>
      </c>
      <c r="O560" s="12" t="str">
        <f t="shared" si="59"/>
        <v>2220 - Bank Loan</v>
      </c>
    </row>
    <row r="561" spans="2:15" ht="22.5" customHeight="1" x14ac:dyDescent="0.2">
      <c r="E561" s="1488" t="str">
        <f>CONCATENATE('Set up ~ Config'!F88&amp;" "&amp;'Set up ~ Config'!G88)</f>
        <v>2230 - Disponible ~ Available</v>
      </c>
      <c r="F561" s="1489"/>
      <c r="G561" s="715">
        <f t="shared" si="60"/>
        <v>0</v>
      </c>
      <c r="H561" s="716">
        <f t="shared" si="61"/>
        <v>0</v>
      </c>
      <c r="K561" s="717"/>
      <c r="N561" s="865" t="str">
        <f>'Set up ~ Config'!$AG55</f>
        <v>2230</v>
      </c>
      <c r="O561" s="12" t="str">
        <f t="shared" si="59"/>
        <v>2230 - Disponible ~ Available</v>
      </c>
    </row>
    <row r="562" spans="2:15" ht="22.5" customHeight="1" x14ac:dyDescent="0.2">
      <c r="E562" s="1488" t="str">
        <f>CONCATENATE('Set up ~ Config'!F89&amp;" "&amp;'Set up ~ Config'!G89)</f>
        <v>2240 - Disponible ~ Available</v>
      </c>
      <c r="F562" s="1489"/>
      <c r="G562" s="715">
        <f t="shared" si="60"/>
        <v>0</v>
      </c>
      <c r="H562" s="716">
        <f t="shared" si="61"/>
        <v>0</v>
      </c>
      <c r="K562" s="717"/>
      <c r="N562" s="865" t="str">
        <f>'Set up ~ Config'!$AG56</f>
        <v>2240</v>
      </c>
      <c r="O562" s="12" t="str">
        <f t="shared" si="59"/>
        <v>2240 - Disponible ~ Available</v>
      </c>
    </row>
    <row r="563" spans="2:15" ht="22.5" customHeight="1" x14ac:dyDescent="0.2">
      <c r="E563" s="1488" t="str">
        <f>CONCATENATE('Set up ~ Config'!F90&amp;" "&amp;'Set up ~ Config'!G90)</f>
        <v>2250 - Disponible ~ Available</v>
      </c>
      <c r="F563" s="1489"/>
      <c r="G563" s="715">
        <f t="shared" si="60"/>
        <v>0</v>
      </c>
      <c r="H563" s="716">
        <f t="shared" si="61"/>
        <v>0</v>
      </c>
      <c r="K563" s="717"/>
      <c r="N563" s="865" t="str">
        <f>'Set up ~ Config'!$AG57</f>
        <v>2250</v>
      </c>
      <c r="O563" s="12" t="str">
        <f t="shared" si="59"/>
        <v>2250 - Disponible ~ Available</v>
      </c>
    </row>
    <row r="564" spans="2:15" ht="22.5" customHeight="1" x14ac:dyDescent="0.2">
      <c r="E564" s="1488" t="str">
        <f>CONCATENATE('Set up ~ Config'!F91&amp;" "&amp;'Set up ~ Config'!G91)</f>
        <v>2260 - Disponible ~ Available</v>
      </c>
      <c r="F564" s="1489"/>
      <c r="G564" s="715">
        <f t="shared" si="60"/>
        <v>0</v>
      </c>
      <c r="H564" s="716">
        <f t="shared" si="61"/>
        <v>0</v>
      </c>
      <c r="K564" s="717"/>
      <c r="N564" s="865" t="str">
        <f>'Set up ~ Config'!$AG58</f>
        <v>2260</v>
      </c>
      <c r="O564" s="12" t="str">
        <f t="shared" si="59"/>
        <v>2260 - Disponible ~ Available</v>
      </c>
    </row>
    <row r="565" spans="2:15" ht="22.5" customHeight="1" x14ac:dyDescent="0.2">
      <c r="E565" s="1488" t="str">
        <f>CONCATENATE('Set up ~ Config'!F92&amp;" "&amp;'Set up ~ Config'!G92)</f>
        <v>2270 - Disponible ~ Available</v>
      </c>
      <c r="F565" s="1489"/>
      <c r="G565" s="715">
        <f t="shared" si="60"/>
        <v>0</v>
      </c>
      <c r="H565" s="716">
        <f t="shared" si="61"/>
        <v>0</v>
      </c>
      <c r="K565" s="717"/>
      <c r="N565" s="865" t="str">
        <f>'Set up ~ Config'!$AG59</f>
        <v>2270</v>
      </c>
      <c r="O565" s="12" t="str">
        <f t="shared" si="59"/>
        <v>2270 - Disponible ~ Available</v>
      </c>
    </row>
    <row r="566" spans="2:15" ht="22.5" customHeight="1" x14ac:dyDescent="0.2">
      <c r="E566" s="1488" t="str">
        <f>CONCATENATE('Set up ~ Config'!F93&amp;" "&amp;'Set up ~ Config'!G93)</f>
        <v>2280 - Disponible ~ Available</v>
      </c>
      <c r="F566" s="1489"/>
      <c r="G566" s="715">
        <f t="shared" si="60"/>
        <v>0</v>
      </c>
      <c r="H566" s="716">
        <f t="shared" si="61"/>
        <v>0</v>
      </c>
      <c r="K566" s="717"/>
      <c r="N566" s="865" t="str">
        <f>'Set up ~ Config'!$AG60</f>
        <v>2280</v>
      </c>
      <c r="O566" s="12" t="str">
        <f t="shared" si="59"/>
        <v>2280 - Disponible ~ Available</v>
      </c>
    </row>
    <row r="567" spans="2:15" ht="22.5" customHeight="1" x14ac:dyDescent="0.2">
      <c r="E567" s="1488" t="str">
        <f>CONCATENATE('Set up ~ Config'!F94&amp;" "&amp;'Set up ~ Config'!G94)</f>
        <v>2290 - Disponible ~ Available</v>
      </c>
      <c r="F567" s="1489"/>
      <c r="G567" s="715">
        <f t="shared" si="60"/>
        <v>0</v>
      </c>
      <c r="H567" s="716">
        <f t="shared" si="61"/>
        <v>0</v>
      </c>
      <c r="K567" s="717"/>
      <c r="N567" s="865" t="str">
        <f>'Set up ~ Config'!$AG61</f>
        <v>2290</v>
      </c>
      <c r="O567" s="12" t="str">
        <f t="shared" si="59"/>
        <v>2290 - Disponible ~ Available</v>
      </c>
    </row>
    <row r="568" spans="2:15" ht="22.5" customHeight="1" thickBot="1" x14ac:dyDescent="0.25">
      <c r="E568" s="1494"/>
      <c r="F568" s="1494"/>
      <c r="G568" s="603"/>
      <c r="H568" s="739"/>
    </row>
    <row r="569" spans="2:15" ht="22.5" hidden="1" customHeight="1" x14ac:dyDescent="0.2">
      <c r="E569" s="1494"/>
      <c r="F569" s="1494"/>
      <c r="G569" s="603"/>
      <c r="H569" s="739"/>
    </row>
    <row r="570" spans="2:15" ht="22.5" hidden="1" customHeight="1" x14ac:dyDescent="0.2">
      <c r="E570" s="1494"/>
      <c r="F570" s="1494"/>
      <c r="G570" s="603"/>
      <c r="H570" s="739"/>
    </row>
    <row r="571" spans="2:15" ht="22.5" hidden="1" customHeight="1" x14ac:dyDescent="0.2">
      <c r="E571" s="1494"/>
      <c r="F571" s="1494"/>
      <c r="G571" s="603"/>
      <c r="H571" s="739"/>
    </row>
    <row r="572" spans="2:15" ht="22.5" hidden="1" customHeight="1" thickBot="1" x14ac:dyDescent="0.25">
      <c r="E572" s="1494"/>
      <c r="F572" s="1494"/>
      <c r="G572" s="603"/>
      <c r="H572" s="739"/>
    </row>
    <row r="573" spans="2:15" ht="15.75" x14ac:dyDescent="0.2">
      <c r="B573" s="770" t="s">
        <v>86</v>
      </c>
      <c r="C573" s="1492" t="s">
        <v>93</v>
      </c>
      <c r="D573" s="1492"/>
      <c r="E573" s="1493"/>
      <c r="F573" s="188"/>
    </row>
    <row r="574" spans="2:15" ht="15.75" x14ac:dyDescent="0.2">
      <c r="B574" s="771" t="s">
        <v>553</v>
      </c>
      <c r="C574" s="1491" t="s">
        <v>554</v>
      </c>
      <c r="D574" s="1491"/>
      <c r="E574" s="1491"/>
      <c r="F574" s="188"/>
    </row>
    <row r="575" spans="2:15" x14ac:dyDescent="0.2">
      <c r="B575" s="771" t="s">
        <v>87</v>
      </c>
      <c r="C575" s="1491" t="s">
        <v>552</v>
      </c>
      <c r="D575" s="1491"/>
      <c r="E575" s="1491"/>
    </row>
    <row r="576" spans="2:15" x14ac:dyDescent="0.2">
      <c r="B576" s="771" t="s">
        <v>88</v>
      </c>
      <c r="C576" s="1491" t="s">
        <v>95</v>
      </c>
      <c r="D576" s="1491"/>
      <c r="E576" s="1491"/>
    </row>
    <row r="577" spans="2:5" x14ac:dyDescent="0.2">
      <c r="B577" s="771" t="s">
        <v>550</v>
      </c>
      <c r="C577" s="1491" t="s">
        <v>551</v>
      </c>
      <c r="D577" s="1491"/>
      <c r="E577" s="1491"/>
    </row>
    <row r="578" spans="2:5" x14ac:dyDescent="0.2">
      <c r="B578" s="771" t="s">
        <v>91</v>
      </c>
      <c r="C578" s="1491" t="s">
        <v>98</v>
      </c>
      <c r="D578" s="1491"/>
      <c r="E578" s="1491"/>
    </row>
    <row r="579" spans="2:5" ht="13.5" thickBot="1" x14ac:dyDescent="0.25">
      <c r="B579" s="772" t="s">
        <v>129</v>
      </c>
      <c r="C579" s="1495" t="s">
        <v>523</v>
      </c>
      <c r="D579" s="1495"/>
      <c r="E579" s="1496"/>
    </row>
  </sheetData>
  <sheetProtection algorithmName="SHA-512" hashValue="4xwWjfrQcKGMg6RKCb5KZ3sXbm8zwPN4MIhhtDqKiSBHu++apgsUOwV5zIFMxqrsQ2guUGhFBq2tnzdlkH9C4g==" saltValue="VJYGlL704TPqfz0qXl/GSw==" spinCount="100000" sheet="1" objects="1" scenarios="1" selectLockedCells="1"/>
  <mergeCells count="84">
    <mergeCell ref="C575:E575"/>
    <mergeCell ref="C576:E576"/>
    <mergeCell ref="C577:E577"/>
    <mergeCell ref="C578:E578"/>
    <mergeCell ref="C579:E579"/>
    <mergeCell ref="C574:E574"/>
    <mergeCell ref="E564:F564"/>
    <mergeCell ref="E565:F565"/>
    <mergeCell ref="E566:F566"/>
    <mergeCell ref="E567:F567"/>
    <mergeCell ref="E568:F568"/>
    <mergeCell ref="E569:F569"/>
    <mergeCell ref="E570:F570"/>
    <mergeCell ref="E571:F571"/>
    <mergeCell ref="E572:F572"/>
    <mergeCell ref="C573:E573"/>
    <mergeCell ref="E559:F559"/>
    <mergeCell ref="E560:F560"/>
    <mergeCell ref="E561:F561"/>
    <mergeCell ref="E562:F562"/>
    <mergeCell ref="E563:F563"/>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30:F530"/>
    <mergeCell ref="E531:F531"/>
    <mergeCell ref="E532:F532"/>
    <mergeCell ref="E533:F533"/>
    <mergeCell ref="E534:F534"/>
    <mergeCell ref="E525:F525"/>
    <mergeCell ref="E526:F526"/>
    <mergeCell ref="E527:F527"/>
    <mergeCell ref="E528:F528"/>
    <mergeCell ref="E529:F529"/>
    <mergeCell ref="E520:F520"/>
    <mergeCell ref="H521:H522"/>
    <mergeCell ref="E522:F522"/>
    <mergeCell ref="D516:F516"/>
    <mergeCell ref="D517:F517"/>
    <mergeCell ref="BB517:BH517"/>
    <mergeCell ref="E518:F518"/>
    <mergeCell ref="P5:AO5"/>
    <mergeCell ref="CM5:CU5"/>
    <mergeCell ref="CV5:DD5"/>
    <mergeCell ref="K5:M7"/>
    <mergeCell ref="DE5:DL5"/>
    <mergeCell ref="BW5:CL5"/>
    <mergeCell ref="P4:AO4"/>
    <mergeCell ref="CM4:CU4"/>
    <mergeCell ref="CV4:DD4"/>
    <mergeCell ref="DE4:DL4"/>
    <mergeCell ref="AP4:BL4"/>
    <mergeCell ref="BM4:BV4"/>
    <mergeCell ref="BW4:CL4"/>
    <mergeCell ref="B1:J1"/>
    <mergeCell ref="B2:J2"/>
    <mergeCell ref="B3:J3"/>
    <mergeCell ref="F4:F7"/>
    <mergeCell ref="G4:G7"/>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4" priority="25">
      <formula>W$8="Disponible (Renommez)"</formula>
    </cfRule>
    <cfRule type="expression" dxfId="143" priority="26">
      <formula>W$8="Available (Rename)"</formula>
    </cfRule>
  </conditionalFormatting>
  <conditionalFormatting sqref="AG8:AO8 BH8:BL8 BR8:BV8 DK8 CI8:DD8">
    <cfRule type="expression" dxfId="142" priority="28">
      <formula>AG8="Disponible ~ Available"</formula>
    </cfRule>
  </conditionalFormatting>
  <conditionalFormatting sqref="AQ8:AT8 AV8:AY8 BX8:CD8">
    <cfRule type="expression" dxfId="141" priority="27">
      <formula>AQ8="Disponible ~ Available"</formula>
    </cfRule>
  </conditionalFormatting>
  <conditionalFormatting sqref="BH8:BL8">
    <cfRule type="expression" dxfId="140" priority="13">
      <formula>BH8="Disponible (Renommez)"</formula>
    </cfRule>
  </conditionalFormatting>
  <conditionalFormatting sqref="BM8:BQ8">
    <cfRule type="expression" dxfId="139" priority="20">
      <formula>BM8="Available (Rename)"</formula>
    </cfRule>
  </conditionalFormatting>
  <conditionalFormatting sqref="BR8:BV8">
    <cfRule type="expression" dxfId="138" priority="12">
      <formula>BR8="Disponible (Renommez)"</formula>
    </cfRule>
  </conditionalFormatting>
  <conditionalFormatting sqref="CE8:CH8 DE8:DI8">
    <cfRule type="expression" dxfId="137" priority="14">
      <formula>CE8="Available (Rename)"</formula>
    </cfRule>
  </conditionalFormatting>
  <conditionalFormatting sqref="CI8:DD8">
    <cfRule type="expression" dxfId="136" priority="9">
      <formula>CI8="Disponible (Renommez)"</formula>
    </cfRule>
  </conditionalFormatting>
  <conditionalFormatting sqref="DK8">
    <cfRule type="expression" dxfId="135" priority="8">
      <formula>DK8="Disponible (Renommez)"</formula>
    </cfRule>
  </conditionalFormatting>
  <dataValidations count="7">
    <dataValidation type="list" allowBlank="1" showInputMessage="1" showErrorMessage="1" sqref="R525">
      <formula1>#REF!</formula1>
      <formula2>0</formula2>
    </dataValidation>
    <dataValidation type="list" allowBlank="1" showInputMessage="1" showErrorMessage="1" sqref="B45:B515">
      <formula1>$B$5:$B$6</formula1>
      <formula2>0</formula2>
    </dataValidation>
    <dataValidation type="date" operator="greaterThan" allowBlank="1" showInputMessage="1" showErrorMessage="1" sqref="E45:E515">
      <formula1>42917</formula1>
      <formula2>0</formula2>
    </dataValidation>
    <dataValidation type="list" allowBlank="1" showInputMessage="1" showErrorMessage="1" sqref="C16:C515">
      <formula1>$B$573:$B$579</formula1>
    </dataValidation>
    <dataValidation type="list" allowBlank="1" showInputMessage="1" showErrorMessage="1" sqref="H16:H515">
      <formula1>$O$523:$O$567</formula1>
    </dataValidation>
    <dataValidation type="list" allowBlank="1" showInputMessage="1" showErrorMessage="1" sqref="B16:B44">
      <formula1>$B$5:$B$6</formula1>
    </dataValidation>
    <dataValidation type="date" operator="greaterThan" allowBlank="1" showInputMessage="1" showErrorMessage="1" sqref="E16:E44">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G1016" sqref="G1016:L1016"/>
    </sheetView>
  </sheetViews>
  <sheetFormatPr defaultColWidth="11.42578125" defaultRowHeight="12.75" x14ac:dyDescent="0.2"/>
  <cols>
    <col min="1" max="1" width="4.42578125" customWidth="1"/>
    <col min="2" max="2" width="7.7109375" hidden="1" customWidth="1"/>
    <col min="3" max="3" width="17" style="109" customWidth="1"/>
    <col min="4" max="4" width="15.42578125" style="109" customWidth="1"/>
    <col min="5" max="5" width="47.42578125" style="110" customWidth="1"/>
    <col min="6" max="6" width="6.85546875" style="110" customWidth="1"/>
    <col min="7" max="7" width="17.7109375" style="111" customWidth="1"/>
    <col min="8" max="8" width="30" style="111" customWidth="1"/>
    <col min="9" max="9" width="8.5703125" style="111" hidden="1" customWidth="1"/>
    <col min="10" max="10" width="10.42578125" style="111" hidden="1" customWidth="1"/>
    <col min="11" max="11" width="17.7109375" style="112" customWidth="1"/>
    <col min="12" max="12" width="17.7109375" style="109" customWidth="1"/>
    <col min="13" max="13" width="11.7109375" style="109" hidden="1" customWidth="1"/>
    <col min="14" max="14" width="7.7109375" hidden="1" customWidth="1"/>
    <col min="15" max="15" width="2.140625" customWidth="1"/>
    <col min="16" max="16" width="13" customWidth="1"/>
    <col min="17" max="17" width="9.140625" customWidth="1"/>
    <col min="18" max="18" width="17" customWidth="1"/>
    <col min="19" max="19" width="16.5703125" hidden="1" customWidth="1"/>
    <col min="20" max="20" width="13" hidden="1" customWidth="1"/>
    <col min="21" max="21" width="18.42578125" hidden="1" customWidth="1"/>
    <col min="22" max="25" width="9.140625" hidden="1" customWidth="1"/>
    <col min="26" max="257" width="9.140625" customWidth="1"/>
  </cols>
  <sheetData>
    <row r="1" spans="1:22" ht="33.75" customHeight="1" x14ac:dyDescent="0.4">
      <c r="B1" s="81"/>
      <c r="C1" s="1511" t="str">
        <f>IF(A3=2,"Liste des transactions","Transactions Listing")</f>
        <v>Transactions Listing</v>
      </c>
      <c r="D1" s="1511"/>
      <c r="E1" s="1511"/>
      <c r="F1" s="1511"/>
      <c r="G1" s="1511"/>
      <c r="H1" s="1511"/>
      <c r="I1" s="1512"/>
      <c r="J1" s="1512"/>
      <c r="K1" s="1511"/>
      <c r="L1" s="1511"/>
      <c r="M1" s="81"/>
      <c r="N1" s="81"/>
    </row>
    <row r="2" spans="1:22" ht="35.25" customHeight="1" x14ac:dyDescent="0.2">
      <c r="B2" s="113"/>
      <c r="C2" s="1513" t="str">
        <f>'Set up ~ Config'!B2</f>
        <v xml:space="preserve">SSC </v>
      </c>
      <c r="D2" s="1513"/>
      <c r="E2" s="1513"/>
      <c r="F2" s="1513"/>
      <c r="G2" s="1513"/>
      <c r="H2" s="1513"/>
      <c r="I2" s="1514"/>
      <c r="J2" s="1514"/>
      <c r="K2" s="1513"/>
      <c r="L2" s="1513"/>
      <c r="M2" s="114"/>
      <c r="N2" s="115"/>
    </row>
    <row r="3" spans="1:22" ht="27" customHeight="1" x14ac:dyDescent="0.2">
      <c r="A3" s="23">
        <f>'Set up ~ Config'!L10</f>
        <v>1</v>
      </c>
      <c r="C3" s="1515" t="str">
        <f>IF($A$3=2,"Pour la période du ","Period from ")</f>
        <v xml:space="preserve">Period from </v>
      </c>
      <c r="D3" s="1515"/>
      <c r="E3" s="963">
        <v>44743</v>
      </c>
      <c r="F3" s="116" t="str">
        <f>IF($A$3=2,"Au ","To ")</f>
        <v xml:space="preserve">To </v>
      </c>
      <c r="G3" s="1516">
        <v>45107</v>
      </c>
      <c r="H3" s="1516"/>
      <c r="I3" s="117"/>
      <c r="J3" s="117"/>
      <c r="K3" s="118"/>
      <c r="L3" s="118"/>
      <c r="M3" s="119"/>
      <c r="N3" s="119"/>
    </row>
    <row r="4" spans="1:22" ht="13.5" customHeight="1" thickTop="1" x14ac:dyDescent="0.2">
      <c r="A4" s="23"/>
      <c r="C4" s="120"/>
      <c r="D4" s="120"/>
      <c r="E4" s="950" t="str">
        <f>IF($A$3=2,"Insérez date de début de période (aaaa-mm-jj)","Insert Start Date Period (yyyy-mm-dd)")</f>
        <v>Insert Start Date Period (yyyy-mm-dd)</v>
      </c>
      <c r="F4" s="121"/>
      <c r="G4" s="1517" t="str">
        <f>IF($A$3=2,"Insérez date de fin de période (aaaa-mm-jj)","Insert End Date Period (yyyy-mm-dd))")</f>
        <v>Insert End Date Period (yyyy-mm-dd))</v>
      </c>
      <c r="H4" s="1517"/>
      <c r="I4" s="117"/>
      <c r="J4" s="117"/>
      <c r="K4" s="122"/>
      <c r="L4" s="122"/>
      <c r="M4" s="123"/>
      <c r="N4" s="123"/>
    </row>
    <row r="5" spans="1:22" ht="46.5" customHeight="1" x14ac:dyDescent="0.2">
      <c r="A5" s="23"/>
      <c r="C5" s="940"/>
      <c r="D5" s="940"/>
      <c r="E5" s="1520" t="str">
        <f>IF(A3=2,S7,S6)</f>
        <v>To activate or update the list, check and uncheck a filter item and press OK</v>
      </c>
      <c r="F5" s="1520"/>
      <c r="G5" s="1520"/>
      <c r="H5" s="1520"/>
      <c r="I5" s="117"/>
      <c r="J5" s="117"/>
      <c r="K5" s="118"/>
      <c r="L5" s="118"/>
      <c r="M5" s="123"/>
      <c r="N5" s="123"/>
    </row>
    <row r="6" spans="1:22" ht="13.5" customHeight="1" x14ac:dyDescent="0.2">
      <c r="A6" s="23"/>
      <c r="C6" s="124"/>
      <c r="D6" s="124"/>
      <c r="E6" s="125"/>
      <c r="F6" s="126"/>
      <c r="G6" s="125"/>
      <c r="H6" s="125"/>
      <c r="I6" s="117"/>
      <c r="J6" s="117"/>
      <c r="K6" s="127"/>
      <c r="L6" s="127"/>
      <c r="M6" s="123"/>
      <c r="N6" s="123"/>
      <c r="S6" s="861" t="s">
        <v>546</v>
      </c>
    </row>
    <row r="7" spans="1:22" ht="13.5" customHeight="1" x14ac:dyDescent="0.2">
      <c r="A7" s="23"/>
      <c r="C7" s="124"/>
      <c r="D7" s="124"/>
      <c r="E7" s="125"/>
      <c r="F7" s="126"/>
      <c r="G7" s="1518" t="str">
        <f>IF($A$3=2,"Filtrez la période et comptes visés","Filter the required Period and Accounts")</f>
        <v>Filter the required Period and Accounts</v>
      </c>
      <c r="H7" s="1518"/>
      <c r="I7" s="117"/>
      <c r="J7" s="117"/>
      <c r="K7" s="127"/>
      <c r="L7" s="127"/>
      <c r="M7" s="123"/>
      <c r="N7" s="123"/>
      <c r="S7" s="861" t="s">
        <v>545</v>
      </c>
    </row>
    <row r="8" spans="1:22" ht="33.75" customHeight="1" x14ac:dyDescent="0.2">
      <c r="B8" s="128" t="s">
        <v>130</v>
      </c>
      <c r="C8" s="129" t="str">
        <f>IF(A3=2,"Type TX","TX Type")</f>
        <v>TX Type</v>
      </c>
      <c r="D8" s="130" t="s">
        <v>131</v>
      </c>
      <c r="E8" s="130" t="str">
        <f>IF(A3=2,"Description","Description")</f>
        <v>Description</v>
      </c>
      <c r="F8" s="128"/>
      <c r="G8" s="130" t="s">
        <v>132</v>
      </c>
      <c r="H8" s="130" t="str">
        <f>IF(A3=2,"Compte","Account")</f>
        <v>Account</v>
      </c>
      <c r="I8" s="130"/>
      <c r="J8" s="130"/>
      <c r="K8" s="128" t="str">
        <f>IF(A3=2,"Revenus","Revenues")</f>
        <v>Revenues</v>
      </c>
      <c r="L8" s="131" t="str">
        <f>IF(A3=2,"Dépenses","Expenditures")</f>
        <v>Expenditures</v>
      </c>
      <c r="M8" s="131" t="str">
        <f>IF(A3="FR","Mois","Month")</f>
        <v>Month</v>
      </c>
      <c r="N8" s="131" t="str">
        <f>IF(A3="FR","Compte","Account")</f>
        <v>Account</v>
      </c>
    </row>
    <row r="9" spans="1:22" ht="11.25" customHeight="1" x14ac:dyDescent="0.2">
      <c r="B9" s="132">
        <v>1</v>
      </c>
      <c r="C9" s="129"/>
      <c r="D9" s="133"/>
      <c r="E9" s="134"/>
      <c r="F9" s="135"/>
      <c r="G9" s="134"/>
      <c r="H9" s="134"/>
      <c r="I9" s="136"/>
      <c r="J9" s="136"/>
      <c r="K9" s="133"/>
      <c r="L9" s="137"/>
      <c r="M9" s="137"/>
      <c r="N9" s="138"/>
    </row>
    <row r="10" spans="1:22" ht="30" customHeight="1" x14ac:dyDescent="0.25">
      <c r="B10" s="139">
        <v>1</v>
      </c>
      <c r="C10" s="140" t="s">
        <v>89</v>
      </c>
      <c r="D10" s="141" t="str">
        <f>IF(A3=2,"REVENUS","REVENUES")</f>
        <v>REVENUES</v>
      </c>
      <c r="E10" s="141"/>
      <c r="F10" s="142"/>
      <c r="G10" s="143"/>
      <c r="H10" s="143"/>
      <c r="I10" s="143"/>
      <c r="J10" s="143"/>
      <c r="K10" s="141"/>
      <c r="L10" s="141"/>
      <c r="M10" s="144"/>
      <c r="N10" s="145"/>
    </row>
    <row r="11" spans="1:22" s="1" customFormat="1" ht="30" hidden="1" customHeight="1" x14ac:dyDescent="0.2">
      <c r="B11" s="146">
        <f>IF(AND('Jrnl Rev'!G16&lt;&gt;"",'Jrnl Rev'!C16&lt;&gt;""),1,0)</f>
        <v>0</v>
      </c>
      <c r="C11" s="146">
        <f>'Jrnl Rev'!$C16</f>
        <v>0</v>
      </c>
      <c r="D11" s="147">
        <f>'Jrnl Rev'!$D16</f>
        <v>0</v>
      </c>
      <c r="E11" s="1519">
        <f>'Jrnl Rev'!$F16</f>
        <v>0</v>
      </c>
      <c r="F11" s="1519"/>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2">
      <c r="B12" s="146">
        <f>IF(AND('Jrnl Rev'!G17&lt;&gt;"",'Jrnl Rev'!C17&lt;&gt;""),1,0)</f>
        <v>0</v>
      </c>
      <c r="C12" s="146">
        <f>'Jrnl Rev'!$C17</f>
        <v>0</v>
      </c>
      <c r="D12" s="147">
        <f>'Jrnl Rev'!$D17</f>
        <v>0</v>
      </c>
      <c r="E12" s="1519">
        <f>'Jrnl Rev'!$F17</f>
        <v>0</v>
      </c>
      <c r="F12" s="1519"/>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2">
      <c r="B13" s="146">
        <f>IF(AND('Jrnl Rev'!G18&lt;&gt;"",'Jrnl Rev'!C18&lt;&gt;""),1,0)</f>
        <v>0</v>
      </c>
      <c r="C13" s="146">
        <f>'Jrnl Rev'!$C18</f>
        <v>0</v>
      </c>
      <c r="D13" s="147">
        <f>'Jrnl Rev'!$D18</f>
        <v>0</v>
      </c>
      <c r="E13" s="1519">
        <f>'Jrnl Rev'!$F18</f>
        <v>0</v>
      </c>
      <c r="F13" s="1519"/>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2">
      <c r="B14" s="146">
        <f>IF(AND('Jrnl Rev'!G19&lt;&gt;"",'Jrnl Rev'!C19&lt;&gt;""),1,0)</f>
        <v>0</v>
      </c>
      <c r="C14" s="146">
        <f>'Jrnl Rev'!$C19</f>
        <v>0</v>
      </c>
      <c r="D14" s="147">
        <f>'Jrnl Rev'!$D19</f>
        <v>0</v>
      </c>
      <c r="E14" s="1519">
        <f>'Jrnl Rev'!$F19</f>
        <v>0</v>
      </c>
      <c r="F14" s="1519"/>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2">
      <c r="B15" s="146">
        <f>IF(AND('Jrnl Rev'!G20&lt;&gt;"",'Jrnl Rev'!C20&lt;&gt;""),1,0)</f>
        <v>0</v>
      </c>
      <c r="C15" s="146">
        <f>'Jrnl Rev'!$C20</f>
        <v>0</v>
      </c>
      <c r="D15" s="147">
        <f>'Jrnl Rev'!$D20</f>
        <v>0</v>
      </c>
      <c r="E15" s="1519">
        <f>'Jrnl Rev'!$F20</f>
        <v>0</v>
      </c>
      <c r="F15" s="1519"/>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2">
      <c r="B16" s="146">
        <f>IF(AND('Jrnl Rev'!G21&lt;&gt;"",'Jrnl Rev'!C21&lt;&gt;""),1,0)</f>
        <v>0</v>
      </c>
      <c r="C16" s="146">
        <f>'Jrnl Rev'!$C21</f>
        <v>0</v>
      </c>
      <c r="D16" s="147">
        <f>'Jrnl Rev'!$D21</f>
        <v>0</v>
      </c>
      <c r="E16" s="1519">
        <f>'Jrnl Rev'!$F21</f>
        <v>0</v>
      </c>
      <c r="F16" s="1519"/>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2">
      <c r="B17" s="146">
        <f>IF(AND('Jrnl Rev'!G22&lt;&gt;"",'Jrnl Rev'!C22&lt;&gt;""),1,0)</f>
        <v>0</v>
      </c>
      <c r="C17" s="146">
        <f>'Jrnl Rev'!$C22</f>
        <v>0</v>
      </c>
      <c r="D17" s="147">
        <f>'Jrnl Rev'!$D22</f>
        <v>0</v>
      </c>
      <c r="E17" s="1519">
        <f>'Jrnl Rev'!$F22</f>
        <v>0</v>
      </c>
      <c r="F17" s="1519"/>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2">
      <c r="B18" s="146">
        <f>IF(AND('Jrnl Rev'!G23&lt;&gt;"",'Jrnl Rev'!C23&lt;&gt;""),1,0)</f>
        <v>0</v>
      </c>
      <c r="C18" s="146">
        <f>'Jrnl Rev'!$C23</f>
        <v>0</v>
      </c>
      <c r="D18" s="147">
        <f>'Jrnl Rev'!$D23</f>
        <v>0</v>
      </c>
      <c r="E18" s="1519">
        <f>'Jrnl Rev'!$F23</f>
        <v>0</v>
      </c>
      <c r="F18" s="1519"/>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2">
      <c r="B19" s="146">
        <f>IF(AND('Jrnl Rev'!G24&lt;&gt;"",'Jrnl Rev'!C24&lt;&gt;""),1,0)</f>
        <v>0</v>
      </c>
      <c r="C19" s="146">
        <f>'Jrnl Rev'!$C24</f>
        <v>0</v>
      </c>
      <c r="D19" s="147">
        <f>'Jrnl Rev'!$D24</f>
        <v>0</v>
      </c>
      <c r="E19" s="1519">
        <f>'Jrnl Rev'!$F24</f>
        <v>0</v>
      </c>
      <c r="F19" s="1519"/>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2">
      <c r="B20" s="146">
        <f>IF(AND('Jrnl Rev'!G25&lt;&gt;"",'Jrnl Rev'!C25&lt;&gt;""),1,0)</f>
        <v>0</v>
      </c>
      <c r="C20" s="146">
        <f>'Jrnl Rev'!$C25</f>
        <v>0</v>
      </c>
      <c r="D20" s="147">
        <f>'Jrnl Rev'!$D25</f>
        <v>0</v>
      </c>
      <c r="E20" s="1519">
        <f>'Jrnl Rev'!$F25</f>
        <v>0</v>
      </c>
      <c r="F20" s="1519"/>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2">
      <c r="B21" s="146">
        <f>IF(AND('Jrnl Rev'!G26&lt;&gt;"",'Jrnl Rev'!C26&lt;&gt;""),1,0)</f>
        <v>0</v>
      </c>
      <c r="C21" s="146">
        <f>'Jrnl Rev'!$C26</f>
        <v>0</v>
      </c>
      <c r="D21" s="147">
        <f>'Jrnl Rev'!$D26</f>
        <v>0</v>
      </c>
      <c r="E21" s="1519">
        <f>'Jrnl Rev'!$F26</f>
        <v>0</v>
      </c>
      <c r="F21" s="1519"/>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2">
      <c r="B22" s="146">
        <f>IF(AND('Jrnl Rev'!G27&lt;&gt;"",'Jrnl Rev'!C27&lt;&gt;""),1,0)</f>
        <v>0</v>
      </c>
      <c r="C22" s="146">
        <f>'Jrnl Rev'!$C27</f>
        <v>0</v>
      </c>
      <c r="D22" s="147">
        <f>'Jrnl Rev'!$D27</f>
        <v>0</v>
      </c>
      <c r="E22" s="1519">
        <f>'Jrnl Rev'!$F27</f>
        <v>0</v>
      </c>
      <c r="F22" s="1519"/>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2">
      <c r="B23" s="146">
        <f>IF(AND('Jrnl Rev'!G28&lt;&gt;"",'Jrnl Rev'!C28&lt;&gt;""),1,0)</f>
        <v>0</v>
      </c>
      <c r="C23" s="146">
        <f>'Jrnl Rev'!$C28</f>
        <v>0</v>
      </c>
      <c r="D23" s="147">
        <f>'Jrnl Rev'!$D28</f>
        <v>0</v>
      </c>
      <c r="E23" s="1519">
        <f>'Jrnl Rev'!$F28</f>
        <v>0</v>
      </c>
      <c r="F23" s="1519"/>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2">
      <c r="B24" s="146">
        <f>IF(AND('Jrnl Rev'!G29&lt;&gt;"",'Jrnl Rev'!C29&lt;&gt;""),1,0)</f>
        <v>0</v>
      </c>
      <c r="C24" s="146">
        <f>'Jrnl Rev'!$C29</f>
        <v>0</v>
      </c>
      <c r="D24" s="147">
        <f>'Jrnl Rev'!$D29</f>
        <v>0</v>
      </c>
      <c r="E24" s="1519">
        <f>'Jrnl Rev'!$F29</f>
        <v>0</v>
      </c>
      <c r="F24" s="1519"/>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2">
      <c r="B25" s="146">
        <f>IF(AND('Jrnl Rev'!G30&lt;&gt;"",'Jrnl Rev'!C30&lt;&gt;""),1,0)</f>
        <v>0</v>
      </c>
      <c r="C25" s="146">
        <f>'Jrnl Rev'!$C30</f>
        <v>0</v>
      </c>
      <c r="D25" s="147">
        <f>'Jrnl Rev'!$D30</f>
        <v>0</v>
      </c>
      <c r="E25" s="1519">
        <f>'Jrnl Rev'!$F30</f>
        <v>0</v>
      </c>
      <c r="F25" s="1519"/>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2">
      <c r="B26" s="146">
        <f>IF(AND('Jrnl Rev'!G31&lt;&gt;"",'Jrnl Rev'!C31&lt;&gt;""),1,0)</f>
        <v>0</v>
      </c>
      <c r="C26" s="146">
        <f>'Jrnl Rev'!$C31</f>
        <v>0</v>
      </c>
      <c r="D26" s="147">
        <f>'Jrnl Rev'!$D31</f>
        <v>0</v>
      </c>
      <c r="E26" s="1519">
        <f>'Jrnl Rev'!$F31</f>
        <v>0</v>
      </c>
      <c r="F26" s="1519"/>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2">
      <c r="B27" s="146">
        <f>IF(AND('Jrnl Rev'!G32&lt;&gt;"",'Jrnl Rev'!C32&lt;&gt;""),1,0)</f>
        <v>0</v>
      </c>
      <c r="C27" s="146">
        <f>'Jrnl Rev'!$C32</f>
        <v>0</v>
      </c>
      <c r="D27" s="147">
        <f>'Jrnl Rev'!$D32</f>
        <v>0</v>
      </c>
      <c r="E27" s="1519">
        <f>'Jrnl Rev'!$F32</f>
        <v>0</v>
      </c>
      <c r="F27" s="1519"/>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2">
      <c r="B28" s="146">
        <f>IF(AND('Jrnl Rev'!G33&lt;&gt;"",'Jrnl Rev'!C33&lt;&gt;""),1,0)</f>
        <v>0</v>
      </c>
      <c r="C28" s="146">
        <f>'Jrnl Rev'!$C33</f>
        <v>0</v>
      </c>
      <c r="D28" s="147">
        <f>'Jrnl Rev'!$D33</f>
        <v>0</v>
      </c>
      <c r="E28" s="1519">
        <f>'Jrnl Rev'!$F33</f>
        <v>0</v>
      </c>
      <c r="F28" s="1519"/>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2">
      <c r="B29" s="146">
        <f>IF(AND('Jrnl Rev'!G34&lt;&gt;"",'Jrnl Rev'!C34&lt;&gt;""),1,0)</f>
        <v>0</v>
      </c>
      <c r="C29" s="146">
        <f>'Jrnl Rev'!$C34</f>
        <v>0</v>
      </c>
      <c r="D29" s="147">
        <f>'Jrnl Rev'!$D34</f>
        <v>0</v>
      </c>
      <c r="E29" s="1519">
        <f>'Jrnl Rev'!$F34</f>
        <v>0</v>
      </c>
      <c r="F29" s="1519"/>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2">
      <c r="B30" s="146">
        <f>IF(AND('Jrnl Rev'!G35&lt;&gt;"",'Jrnl Rev'!C35&lt;&gt;""),1,0)</f>
        <v>0</v>
      </c>
      <c r="C30" s="146">
        <f>'Jrnl Rev'!$C35</f>
        <v>0</v>
      </c>
      <c r="D30" s="147">
        <f>'Jrnl Rev'!$D35</f>
        <v>0</v>
      </c>
      <c r="E30" s="1519">
        <f>'Jrnl Rev'!$F35</f>
        <v>0</v>
      </c>
      <c r="F30" s="1519"/>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2">
      <c r="B31" s="146">
        <f>IF(AND('Jrnl Rev'!G36&lt;&gt;"",'Jrnl Rev'!C36&lt;&gt;""),1,0)</f>
        <v>0</v>
      </c>
      <c r="C31" s="146">
        <f>'Jrnl Rev'!$C36</f>
        <v>0</v>
      </c>
      <c r="D31" s="147">
        <f>'Jrnl Rev'!$D36</f>
        <v>0</v>
      </c>
      <c r="E31" s="1519">
        <f>'Jrnl Rev'!$F36</f>
        <v>0</v>
      </c>
      <c r="F31" s="1519"/>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2">
      <c r="B32" s="146">
        <f>IF(AND('Jrnl Rev'!G37&lt;&gt;"",'Jrnl Rev'!C37&lt;&gt;""),1,0)</f>
        <v>0</v>
      </c>
      <c r="C32" s="146">
        <f>'Jrnl Rev'!$C37</f>
        <v>0</v>
      </c>
      <c r="D32" s="147">
        <f>'Jrnl Rev'!$D37</f>
        <v>0</v>
      </c>
      <c r="E32" s="1519">
        <f>'Jrnl Rev'!$F37</f>
        <v>0</v>
      </c>
      <c r="F32" s="1519"/>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2">
      <c r="B33" s="146">
        <f>IF(AND('Jrnl Rev'!G38&lt;&gt;"",'Jrnl Rev'!C38&lt;&gt;""),1,0)</f>
        <v>0</v>
      </c>
      <c r="C33" s="146">
        <f>'Jrnl Rev'!$C38</f>
        <v>0</v>
      </c>
      <c r="D33" s="147">
        <f>'Jrnl Rev'!$D38</f>
        <v>0</v>
      </c>
      <c r="E33" s="1519">
        <f>'Jrnl Rev'!$F38</f>
        <v>0</v>
      </c>
      <c r="F33" s="1519"/>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2">
      <c r="B34" s="146">
        <f>IF(AND('Jrnl Rev'!G39&lt;&gt;"",'Jrnl Rev'!C39&lt;&gt;""),1,0)</f>
        <v>0</v>
      </c>
      <c r="C34" s="146">
        <f>'Jrnl Rev'!$C39</f>
        <v>0</v>
      </c>
      <c r="D34" s="147">
        <f>'Jrnl Rev'!$D39</f>
        <v>0</v>
      </c>
      <c r="E34" s="1519">
        <f>'Jrnl Rev'!$F39</f>
        <v>0</v>
      </c>
      <c r="F34" s="1519"/>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2">
      <c r="B35" s="146">
        <f>IF(AND('Jrnl Rev'!G40&lt;&gt;"",'Jrnl Rev'!C40&lt;&gt;""),1,0)</f>
        <v>0</v>
      </c>
      <c r="C35" s="146">
        <f>'Jrnl Rev'!$C40</f>
        <v>0</v>
      </c>
      <c r="D35" s="147">
        <f>'Jrnl Rev'!$D40</f>
        <v>0</v>
      </c>
      <c r="E35" s="1519">
        <f>'Jrnl Rev'!$F40</f>
        <v>0</v>
      </c>
      <c r="F35" s="1519"/>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2">
      <c r="B36" s="146">
        <f>IF(AND('Jrnl Rev'!G41&lt;&gt;"",'Jrnl Rev'!C41&lt;&gt;""),1,0)</f>
        <v>0</v>
      </c>
      <c r="C36" s="146">
        <f>'Jrnl Rev'!$C41</f>
        <v>0</v>
      </c>
      <c r="D36" s="147">
        <f>'Jrnl Rev'!$D41</f>
        <v>0</v>
      </c>
      <c r="E36" s="1519">
        <f>'Jrnl Rev'!$F41</f>
        <v>0</v>
      </c>
      <c r="F36" s="1519"/>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2">
      <c r="B37" s="146">
        <f>IF(AND('Jrnl Rev'!G42&lt;&gt;"",'Jrnl Rev'!C42&lt;&gt;""),1,0)</f>
        <v>0</v>
      </c>
      <c r="C37" s="146">
        <f>'Jrnl Rev'!$C42</f>
        <v>0</v>
      </c>
      <c r="D37" s="147">
        <f>'Jrnl Rev'!$D42</f>
        <v>0</v>
      </c>
      <c r="E37" s="1519">
        <f>'Jrnl Rev'!$F42</f>
        <v>0</v>
      </c>
      <c r="F37" s="1519"/>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2">
      <c r="B38" s="146">
        <f>IF(AND('Jrnl Rev'!G43&lt;&gt;"",'Jrnl Rev'!C43&lt;&gt;""),1,0)</f>
        <v>0</v>
      </c>
      <c r="C38" s="146">
        <f>'Jrnl Rev'!$C43</f>
        <v>0</v>
      </c>
      <c r="D38" s="147">
        <f>'Jrnl Rev'!$D43</f>
        <v>0</v>
      </c>
      <c r="E38" s="1519">
        <f>'Jrnl Rev'!$F43</f>
        <v>0</v>
      </c>
      <c r="F38" s="1519"/>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2">
      <c r="B39" s="146">
        <f>IF(AND('Jrnl Rev'!G44&lt;&gt;"",'Jrnl Rev'!C44&lt;&gt;""),1,0)</f>
        <v>0</v>
      </c>
      <c r="C39" s="146">
        <f>'Jrnl Rev'!$C44</f>
        <v>0</v>
      </c>
      <c r="D39" s="147">
        <f>'Jrnl Rev'!$D44</f>
        <v>0</v>
      </c>
      <c r="E39" s="1519">
        <f>'Jrnl Rev'!$F44</f>
        <v>0</v>
      </c>
      <c r="F39" s="1519"/>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2">
      <c r="B40" s="146">
        <f>IF(AND('Jrnl Rev'!G45&lt;&gt;"",'Jrnl Rev'!C45&lt;&gt;""),1,0)</f>
        <v>0</v>
      </c>
      <c r="C40" s="146">
        <f>'Jrnl Rev'!$C45</f>
        <v>0</v>
      </c>
      <c r="D40" s="147">
        <f>'Jrnl Rev'!$D45</f>
        <v>0</v>
      </c>
      <c r="E40" s="1519">
        <f>'Jrnl Rev'!$F45</f>
        <v>0</v>
      </c>
      <c r="F40" s="1519"/>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2">
      <c r="B41" s="146">
        <f>IF(AND('Jrnl Rev'!G46&lt;&gt;"",'Jrnl Rev'!C46&lt;&gt;""),1,0)</f>
        <v>0</v>
      </c>
      <c r="C41" s="146">
        <f>'Jrnl Rev'!$C46</f>
        <v>0</v>
      </c>
      <c r="D41" s="147">
        <f>'Jrnl Rev'!$D46</f>
        <v>0</v>
      </c>
      <c r="E41" s="1519">
        <f>'Jrnl Rev'!$F46</f>
        <v>0</v>
      </c>
      <c r="F41" s="1519"/>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2">
      <c r="B42" s="146">
        <f>IF(AND('Jrnl Rev'!G47&lt;&gt;"",'Jrnl Rev'!C47&lt;&gt;""),1,0)</f>
        <v>0</v>
      </c>
      <c r="C42" s="146">
        <f>'Jrnl Rev'!$C47</f>
        <v>0</v>
      </c>
      <c r="D42" s="147">
        <f>'Jrnl Rev'!$D47</f>
        <v>0</v>
      </c>
      <c r="E42" s="1519">
        <f>'Jrnl Rev'!$F47</f>
        <v>0</v>
      </c>
      <c r="F42" s="1519"/>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2">
      <c r="B43" s="146">
        <f>IF(AND('Jrnl Rev'!G48&lt;&gt;"",'Jrnl Rev'!C48&lt;&gt;""),1,0)</f>
        <v>0</v>
      </c>
      <c r="C43" s="146">
        <f>'Jrnl Rev'!$C48</f>
        <v>0</v>
      </c>
      <c r="D43" s="147">
        <f>'Jrnl Rev'!$D48</f>
        <v>0</v>
      </c>
      <c r="E43" s="1519">
        <f>'Jrnl Rev'!$F48</f>
        <v>0</v>
      </c>
      <c r="F43" s="1519"/>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2">
      <c r="B44" s="146">
        <f>IF(AND('Jrnl Rev'!G49&lt;&gt;"",'Jrnl Rev'!C49&lt;&gt;""),1,0)</f>
        <v>0</v>
      </c>
      <c r="C44" s="146">
        <f>'Jrnl Rev'!$C49</f>
        <v>0</v>
      </c>
      <c r="D44" s="147">
        <f>'Jrnl Rev'!$D49</f>
        <v>0</v>
      </c>
      <c r="E44" s="1519">
        <f>'Jrnl Rev'!$F49</f>
        <v>0</v>
      </c>
      <c r="F44" s="1519"/>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2">
      <c r="B45" s="146">
        <f>IF(AND('Jrnl Rev'!G50&lt;&gt;"",'Jrnl Rev'!C50&lt;&gt;""),1,0)</f>
        <v>0</v>
      </c>
      <c r="C45" s="146">
        <f>'Jrnl Rev'!$C50</f>
        <v>0</v>
      </c>
      <c r="D45" s="147">
        <f>'Jrnl Rev'!$D50</f>
        <v>0</v>
      </c>
      <c r="E45" s="1519">
        <f>'Jrnl Rev'!$F50</f>
        <v>0</v>
      </c>
      <c r="F45" s="1519"/>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2">
      <c r="B46" s="146">
        <f>IF(AND('Jrnl Rev'!G51&lt;&gt;"",'Jrnl Rev'!C51&lt;&gt;""),1,0)</f>
        <v>0</v>
      </c>
      <c r="C46" s="146">
        <f>'Jrnl Rev'!$C51</f>
        <v>0</v>
      </c>
      <c r="D46" s="147">
        <f>'Jrnl Rev'!$D51</f>
        <v>0</v>
      </c>
      <c r="E46" s="1519">
        <f>'Jrnl Rev'!$F51</f>
        <v>0</v>
      </c>
      <c r="F46" s="1519"/>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2">
      <c r="B47" s="146">
        <f>IF(AND('Jrnl Rev'!G52&lt;&gt;"",'Jrnl Rev'!C52&lt;&gt;""),1,0)</f>
        <v>0</v>
      </c>
      <c r="C47" s="146">
        <f>'Jrnl Rev'!$C52</f>
        <v>0</v>
      </c>
      <c r="D47" s="147">
        <f>'Jrnl Rev'!$D52</f>
        <v>0</v>
      </c>
      <c r="E47" s="1519">
        <f>'Jrnl Rev'!$F52</f>
        <v>0</v>
      </c>
      <c r="F47" s="1519"/>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2">
      <c r="B48" s="146">
        <f>IF(AND('Jrnl Rev'!G53&lt;&gt;"",'Jrnl Rev'!C53&lt;&gt;""),1,0)</f>
        <v>0</v>
      </c>
      <c r="C48" s="146">
        <f>'Jrnl Rev'!$C53</f>
        <v>0</v>
      </c>
      <c r="D48" s="147">
        <f>'Jrnl Rev'!$D53</f>
        <v>0</v>
      </c>
      <c r="E48" s="1519">
        <f>'Jrnl Rev'!$F53</f>
        <v>0</v>
      </c>
      <c r="F48" s="1519"/>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2">
      <c r="B49" s="146">
        <f>IF(AND('Jrnl Rev'!G54&lt;&gt;"",'Jrnl Rev'!C54&lt;&gt;""),1,0)</f>
        <v>0</v>
      </c>
      <c r="C49" s="146">
        <f>'Jrnl Rev'!$C54</f>
        <v>0</v>
      </c>
      <c r="D49" s="147">
        <f>'Jrnl Rev'!$D54</f>
        <v>0</v>
      </c>
      <c r="E49" s="1519">
        <f>'Jrnl Rev'!$F54</f>
        <v>0</v>
      </c>
      <c r="F49" s="1519"/>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2">
      <c r="B50" s="146">
        <f>IF(AND('Jrnl Rev'!G55&lt;&gt;"",'Jrnl Rev'!C55&lt;&gt;""),1,0)</f>
        <v>0</v>
      </c>
      <c r="C50" s="146">
        <f>'Jrnl Rev'!$C55</f>
        <v>0</v>
      </c>
      <c r="D50" s="147">
        <f>'Jrnl Rev'!$D55</f>
        <v>0</v>
      </c>
      <c r="E50" s="1519">
        <f>'Jrnl Rev'!$F55</f>
        <v>0</v>
      </c>
      <c r="F50" s="1519"/>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2">
      <c r="B51" s="146">
        <f>IF(AND('Jrnl Rev'!G56&lt;&gt;"",'Jrnl Rev'!C56&lt;&gt;""),1,0)</f>
        <v>0</v>
      </c>
      <c r="C51" s="146">
        <f>'Jrnl Rev'!$C56</f>
        <v>0</v>
      </c>
      <c r="D51" s="147">
        <f>'Jrnl Rev'!$D56</f>
        <v>0</v>
      </c>
      <c r="E51" s="1519">
        <f>'Jrnl Rev'!$F56</f>
        <v>0</v>
      </c>
      <c r="F51" s="1519"/>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2">
      <c r="B52" s="146">
        <f>IF(AND('Jrnl Rev'!G57&lt;&gt;"",'Jrnl Rev'!C57&lt;&gt;""),1,0)</f>
        <v>0</v>
      </c>
      <c r="C52" s="146">
        <f>'Jrnl Rev'!$C57</f>
        <v>0</v>
      </c>
      <c r="D52" s="147">
        <f>'Jrnl Rev'!$D57</f>
        <v>0</v>
      </c>
      <c r="E52" s="1519">
        <f>'Jrnl Rev'!$F57</f>
        <v>0</v>
      </c>
      <c r="F52" s="1519"/>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2">
      <c r="B53" s="146">
        <f>IF(AND('Jrnl Rev'!G58&lt;&gt;"",'Jrnl Rev'!C58&lt;&gt;""),1,0)</f>
        <v>0</v>
      </c>
      <c r="C53" s="146">
        <f>'Jrnl Rev'!$C58</f>
        <v>0</v>
      </c>
      <c r="D53" s="147">
        <f>'Jrnl Rev'!$D58</f>
        <v>0</v>
      </c>
      <c r="E53" s="1519">
        <f>'Jrnl Rev'!$F58</f>
        <v>0</v>
      </c>
      <c r="F53" s="1519"/>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2">
      <c r="B54" s="146">
        <f>IF(AND('Jrnl Rev'!G59&lt;&gt;"",'Jrnl Rev'!C59&lt;&gt;""),1,0)</f>
        <v>0</v>
      </c>
      <c r="C54" s="146">
        <f>'Jrnl Rev'!$C59</f>
        <v>0</v>
      </c>
      <c r="D54" s="147">
        <f>'Jrnl Rev'!$D59</f>
        <v>0</v>
      </c>
      <c r="E54" s="1519">
        <f>'Jrnl Rev'!$F59</f>
        <v>0</v>
      </c>
      <c r="F54" s="1519"/>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2">
      <c r="B55" s="146">
        <f>IF(AND('Jrnl Rev'!G60&lt;&gt;"",'Jrnl Rev'!C60&lt;&gt;""),1,0)</f>
        <v>0</v>
      </c>
      <c r="C55" s="146">
        <f>'Jrnl Rev'!$C60</f>
        <v>0</v>
      </c>
      <c r="D55" s="147">
        <f>'Jrnl Rev'!$D60</f>
        <v>0</v>
      </c>
      <c r="E55" s="1519">
        <f>'Jrnl Rev'!$F60</f>
        <v>0</v>
      </c>
      <c r="F55" s="1519"/>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2">
      <c r="B56" s="146">
        <f>IF(AND('Jrnl Rev'!G61&lt;&gt;"",'Jrnl Rev'!C61&lt;&gt;""),1,0)</f>
        <v>0</v>
      </c>
      <c r="C56" s="146">
        <f>'Jrnl Rev'!$C61</f>
        <v>0</v>
      </c>
      <c r="D56" s="147">
        <f>'Jrnl Rev'!$D61</f>
        <v>0</v>
      </c>
      <c r="E56" s="1519">
        <f>'Jrnl Rev'!$F61</f>
        <v>0</v>
      </c>
      <c r="F56" s="1519"/>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2">
      <c r="B57" s="146">
        <f>IF(AND('Jrnl Rev'!G62&lt;&gt;"",'Jrnl Rev'!C62&lt;&gt;""),1,0)</f>
        <v>0</v>
      </c>
      <c r="C57" s="146">
        <f>'Jrnl Rev'!$C62</f>
        <v>0</v>
      </c>
      <c r="D57" s="147">
        <f>'Jrnl Rev'!$D62</f>
        <v>0</v>
      </c>
      <c r="E57" s="1519">
        <f>'Jrnl Rev'!$F62</f>
        <v>0</v>
      </c>
      <c r="F57" s="1519"/>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2">
      <c r="B58" s="146">
        <f>IF(AND('Jrnl Rev'!G63&lt;&gt;"",'Jrnl Rev'!C63&lt;&gt;""),1,0)</f>
        <v>0</v>
      </c>
      <c r="C58" s="146">
        <f>'Jrnl Rev'!$C63</f>
        <v>0</v>
      </c>
      <c r="D58" s="147">
        <f>'Jrnl Rev'!$D63</f>
        <v>0</v>
      </c>
      <c r="E58" s="1519">
        <f>'Jrnl Rev'!$F63</f>
        <v>0</v>
      </c>
      <c r="F58" s="1519"/>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2">
      <c r="B59" s="146">
        <f>IF(AND('Jrnl Rev'!G64&lt;&gt;"",'Jrnl Rev'!C64&lt;&gt;""),1,0)</f>
        <v>0</v>
      </c>
      <c r="C59" s="146">
        <f>'Jrnl Rev'!$C64</f>
        <v>0</v>
      </c>
      <c r="D59" s="147">
        <f>'Jrnl Rev'!$D64</f>
        <v>0</v>
      </c>
      <c r="E59" s="1519">
        <f>'Jrnl Rev'!$F64</f>
        <v>0</v>
      </c>
      <c r="F59" s="1519"/>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2">
      <c r="B60" s="146">
        <f>IF(AND('Jrnl Rev'!G65&lt;&gt;"",'Jrnl Rev'!C65&lt;&gt;""),1,0)</f>
        <v>0</v>
      </c>
      <c r="C60" s="146">
        <f>'Jrnl Rev'!$C65</f>
        <v>0</v>
      </c>
      <c r="D60" s="147">
        <f>'Jrnl Rev'!$D65</f>
        <v>0</v>
      </c>
      <c r="E60" s="1519">
        <f>'Jrnl Rev'!$F65</f>
        <v>0</v>
      </c>
      <c r="F60" s="1519"/>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2">
      <c r="B61" s="146">
        <f>IF(AND('Jrnl Rev'!G66&lt;&gt;"",'Jrnl Rev'!C66&lt;&gt;""),1,0)</f>
        <v>0</v>
      </c>
      <c r="C61" s="146">
        <f>'Jrnl Rev'!$C66</f>
        <v>0</v>
      </c>
      <c r="D61" s="147">
        <f>'Jrnl Rev'!$D66</f>
        <v>0</v>
      </c>
      <c r="E61" s="1519">
        <f>'Jrnl Rev'!$F66</f>
        <v>0</v>
      </c>
      <c r="F61" s="1519"/>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2">
      <c r="B62" s="146">
        <f>IF(AND('Jrnl Rev'!G67&lt;&gt;"",'Jrnl Rev'!C67&lt;&gt;""),1,0)</f>
        <v>0</v>
      </c>
      <c r="C62" s="146">
        <f>'Jrnl Rev'!$C67</f>
        <v>0</v>
      </c>
      <c r="D62" s="147">
        <f>'Jrnl Rev'!$D67</f>
        <v>0</v>
      </c>
      <c r="E62" s="1519">
        <f>'Jrnl Rev'!$F67</f>
        <v>0</v>
      </c>
      <c r="F62" s="1519"/>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2">
      <c r="B63" s="146">
        <f>IF(AND('Jrnl Rev'!G68&lt;&gt;"",'Jrnl Rev'!C68&lt;&gt;""),1,0)</f>
        <v>0</v>
      </c>
      <c r="C63" s="146">
        <f>'Jrnl Rev'!$C68</f>
        <v>0</v>
      </c>
      <c r="D63" s="147">
        <f>'Jrnl Rev'!$D68</f>
        <v>0</v>
      </c>
      <c r="E63" s="1519">
        <f>'Jrnl Rev'!$F68</f>
        <v>0</v>
      </c>
      <c r="F63" s="1519"/>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2">
      <c r="B64" s="146">
        <f>IF(AND('Jrnl Rev'!G69&lt;&gt;"",'Jrnl Rev'!C69&lt;&gt;""),1,0)</f>
        <v>0</v>
      </c>
      <c r="C64" s="146">
        <f>'Jrnl Rev'!$C69</f>
        <v>0</v>
      </c>
      <c r="D64" s="147">
        <f>'Jrnl Rev'!$D69</f>
        <v>0</v>
      </c>
      <c r="E64" s="1519">
        <f>'Jrnl Rev'!$F69</f>
        <v>0</v>
      </c>
      <c r="F64" s="1519"/>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2">
      <c r="B65" s="146">
        <f>IF(AND('Jrnl Rev'!G70&lt;&gt;"",'Jrnl Rev'!C70&lt;&gt;""),1,0)</f>
        <v>0</v>
      </c>
      <c r="C65" s="146">
        <f>'Jrnl Rev'!$C70</f>
        <v>0</v>
      </c>
      <c r="D65" s="147">
        <f>'Jrnl Rev'!$D70</f>
        <v>0</v>
      </c>
      <c r="E65" s="1519">
        <f>'Jrnl Rev'!$F70</f>
        <v>0</v>
      </c>
      <c r="F65" s="1519"/>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2">
      <c r="B66" s="146">
        <f>IF(AND('Jrnl Rev'!G71&lt;&gt;"",'Jrnl Rev'!C71&lt;&gt;""),1,0)</f>
        <v>0</v>
      </c>
      <c r="C66" s="146">
        <f>'Jrnl Rev'!$C71</f>
        <v>0</v>
      </c>
      <c r="D66" s="147">
        <f>'Jrnl Rev'!$D71</f>
        <v>0</v>
      </c>
      <c r="E66" s="1519">
        <f>'Jrnl Rev'!$F71</f>
        <v>0</v>
      </c>
      <c r="F66" s="1519"/>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2">
      <c r="B67" s="146">
        <f>IF(AND('Jrnl Rev'!G72&lt;&gt;"",'Jrnl Rev'!C72&lt;&gt;""),1,0)</f>
        <v>0</v>
      </c>
      <c r="C67" s="146">
        <f>'Jrnl Rev'!$C72</f>
        <v>0</v>
      </c>
      <c r="D67" s="147">
        <f>'Jrnl Rev'!$D72</f>
        <v>0</v>
      </c>
      <c r="E67" s="1519">
        <f>'Jrnl Rev'!$F72</f>
        <v>0</v>
      </c>
      <c r="F67" s="1519"/>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2">
      <c r="B68" s="146">
        <f>IF(AND('Jrnl Rev'!G73&lt;&gt;"",'Jrnl Rev'!C73&lt;&gt;""),1,0)</f>
        <v>0</v>
      </c>
      <c r="C68" s="146">
        <f>'Jrnl Rev'!$C73</f>
        <v>0</v>
      </c>
      <c r="D68" s="147">
        <f>'Jrnl Rev'!$D73</f>
        <v>0</v>
      </c>
      <c r="E68" s="1519">
        <f>'Jrnl Rev'!$F73</f>
        <v>0</v>
      </c>
      <c r="F68" s="1519"/>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2">
      <c r="B69" s="146">
        <f>IF(AND('Jrnl Rev'!G74&lt;&gt;"",'Jrnl Rev'!C74&lt;&gt;""),1,0)</f>
        <v>0</v>
      </c>
      <c r="C69" s="146">
        <f>'Jrnl Rev'!$C74</f>
        <v>0</v>
      </c>
      <c r="D69" s="147">
        <f>'Jrnl Rev'!$D74</f>
        <v>0</v>
      </c>
      <c r="E69" s="1519">
        <f>'Jrnl Rev'!$F74</f>
        <v>0</v>
      </c>
      <c r="F69" s="1519"/>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2">
      <c r="B70" s="146">
        <f>IF(AND('Jrnl Rev'!G75&lt;&gt;"",'Jrnl Rev'!C75&lt;&gt;""),1,0)</f>
        <v>0</v>
      </c>
      <c r="C70" s="146">
        <f>'Jrnl Rev'!$C75</f>
        <v>0</v>
      </c>
      <c r="D70" s="147">
        <f>'Jrnl Rev'!$D75</f>
        <v>0</v>
      </c>
      <c r="E70" s="1519">
        <f>'Jrnl Rev'!$F75</f>
        <v>0</v>
      </c>
      <c r="F70" s="1519"/>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2">
      <c r="B71" s="146">
        <f>IF(AND('Jrnl Rev'!G76&lt;&gt;"",'Jrnl Rev'!C76&lt;&gt;""),1,0)</f>
        <v>0</v>
      </c>
      <c r="C71" s="146">
        <f>'Jrnl Rev'!$C76</f>
        <v>0</v>
      </c>
      <c r="D71" s="147">
        <f>'Jrnl Rev'!$D76</f>
        <v>0</v>
      </c>
      <c r="E71" s="1519">
        <f>'Jrnl Rev'!$F76</f>
        <v>0</v>
      </c>
      <c r="F71" s="1519"/>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2">
      <c r="B72" s="146">
        <f>IF(AND('Jrnl Rev'!G77&lt;&gt;"",'Jrnl Rev'!C77&lt;&gt;""),1,0)</f>
        <v>0</v>
      </c>
      <c r="C72" s="146">
        <f>'Jrnl Rev'!$C77</f>
        <v>0</v>
      </c>
      <c r="D72" s="147">
        <f>'Jrnl Rev'!$D77</f>
        <v>0</v>
      </c>
      <c r="E72" s="1519">
        <f>'Jrnl Rev'!$F77</f>
        <v>0</v>
      </c>
      <c r="F72" s="1519"/>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2">
      <c r="B73" s="146">
        <f>IF(AND('Jrnl Rev'!G78&lt;&gt;"",'Jrnl Rev'!C78&lt;&gt;""),1,0)</f>
        <v>0</v>
      </c>
      <c r="C73" s="146">
        <f>'Jrnl Rev'!$C78</f>
        <v>0</v>
      </c>
      <c r="D73" s="147">
        <f>'Jrnl Rev'!$D78</f>
        <v>0</v>
      </c>
      <c r="E73" s="1519">
        <f>'Jrnl Rev'!$F78</f>
        <v>0</v>
      </c>
      <c r="F73" s="1519"/>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2">
      <c r="B74" s="146">
        <f>IF(AND('Jrnl Rev'!G79&lt;&gt;"",'Jrnl Rev'!C79&lt;&gt;""),1,0)</f>
        <v>0</v>
      </c>
      <c r="C74" s="146">
        <f>'Jrnl Rev'!$C79</f>
        <v>0</v>
      </c>
      <c r="D74" s="147">
        <f>'Jrnl Rev'!$D79</f>
        <v>0</v>
      </c>
      <c r="E74" s="1519">
        <f>'Jrnl Rev'!$F79</f>
        <v>0</v>
      </c>
      <c r="F74" s="1519"/>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2">
      <c r="B75" s="146">
        <f>IF(AND('Jrnl Rev'!G80&lt;&gt;"",'Jrnl Rev'!C80&lt;&gt;""),1,0)</f>
        <v>0</v>
      </c>
      <c r="C75" s="146">
        <f>'Jrnl Rev'!$C80</f>
        <v>0</v>
      </c>
      <c r="D75" s="147">
        <f>'Jrnl Rev'!$D80</f>
        <v>0</v>
      </c>
      <c r="E75" s="1519">
        <f>'Jrnl Rev'!$F80</f>
        <v>0</v>
      </c>
      <c r="F75" s="1519"/>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2">
      <c r="B76" s="146">
        <f>IF(AND('Jrnl Rev'!G81&lt;&gt;"",'Jrnl Rev'!C81&lt;&gt;""),1,0)</f>
        <v>0</v>
      </c>
      <c r="C76" s="146">
        <f>'Jrnl Rev'!$C81</f>
        <v>0</v>
      </c>
      <c r="D76" s="147">
        <f>'Jrnl Rev'!$D81</f>
        <v>0</v>
      </c>
      <c r="E76" s="1519">
        <f>'Jrnl Rev'!$F81</f>
        <v>0</v>
      </c>
      <c r="F76" s="1519"/>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2">
      <c r="B77" s="146">
        <f>IF(AND('Jrnl Rev'!G82&lt;&gt;"",'Jrnl Rev'!C82&lt;&gt;""),1,0)</f>
        <v>0</v>
      </c>
      <c r="C77" s="146">
        <f>'Jrnl Rev'!$C82</f>
        <v>0</v>
      </c>
      <c r="D77" s="147">
        <f>'Jrnl Rev'!$D82</f>
        <v>0</v>
      </c>
      <c r="E77" s="1519">
        <f>'Jrnl Rev'!$F82</f>
        <v>0</v>
      </c>
      <c r="F77" s="1519"/>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2">
      <c r="B78" s="146">
        <f>IF(AND('Jrnl Rev'!G83&lt;&gt;"",'Jrnl Rev'!C83&lt;&gt;""),1,0)</f>
        <v>0</v>
      </c>
      <c r="C78" s="146">
        <f>'Jrnl Rev'!$C83</f>
        <v>0</v>
      </c>
      <c r="D78" s="147">
        <f>'Jrnl Rev'!$D83</f>
        <v>0</v>
      </c>
      <c r="E78" s="1519">
        <f>'Jrnl Rev'!$F83</f>
        <v>0</v>
      </c>
      <c r="F78" s="1519"/>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2">
      <c r="B79" s="146">
        <f>IF(AND('Jrnl Rev'!G84&lt;&gt;"",'Jrnl Rev'!C84&lt;&gt;""),1,0)</f>
        <v>0</v>
      </c>
      <c r="C79" s="146">
        <f>'Jrnl Rev'!$C84</f>
        <v>0</v>
      </c>
      <c r="D79" s="147">
        <f>'Jrnl Rev'!$D84</f>
        <v>0</v>
      </c>
      <c r="E79" s="1519">
        <f>'Jrnl Rev'!$F84</f>
        <v>0</v>
      </c>
      <c r="F79" s="1519"/>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2">
      <c r="B80" s="146">
        <f>IF(AND('Jrnl Rev'!G85&lt;&gt;"",'Jrnl Rev'!C85&lt;&gt;""),1,0)</f>
        <v>0</v>
      </c>
      <c r="C80" s="146">
        <f>'Jrnl Rev'!$C85</f>
        <v>0</v>
      </c>
      <c r="D80" s="147">
        <f>'Jrnl Rev'!$D85</f>
        <v>0</v>
      </c>
      <c r="E80" s="1519">
        <f>'Jrnl Rev'!$F85</f>
        <v>0</v>
      </c>
      <c r="F80" s="1519"/>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2">
      <c r="B81" s="146">
        <f>IF(AND('Jrnl Rev'!G86&lt;&gt;"",'Jrnl Rev'!C86&lt;&gt;""),1,0)</f>
        <v>0</v>
      </c>
      <c r="C81" s="146">
        <f>'Jrnl Rev'!$C86</f>
        <v>0</v>
      </c>
      <c r="D81" s="147">
        <f>'Jrnl Rev'!$D86</f>
        <v>0</v>
      </c>
      <c r="E81" s="1519">
        <f>'Jrnl Rev'!$F86</f>
        <v>0</v>
      </c>
      <c r="F81" s="1519"/>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2">
      <c r="B82" s="146">
        <f>IF(AND('Jrnl Rev'!G87&lt;&gt;"",'Jrnl Rev'!C87&lt;&gt;""),1,0)</f>
        <v>0</v>
      </c>
      <c r="C82" s="146">
        <f>'Jrnl Rev'!$C87</f>
        <v>0</v>
      </c>
      <c r="D82" s="147">
        <f>'Jrnl Rev'!$D87</f>
        <v>0</v>
      </c>
      <c r="E82" s="1519">
        <f>'Jrnl Rev'!$F87</f>
        <v>0</v>
      </c>
      <c r="F82" s="1519"/>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2">
      <c r="B83" s="146">
        <f>IF(AND('Jrnl Rev'!G88&lt;&gt;"",'Jrnl Rev'!C88&lt;&gt;""),1,0)</f>
        <v>0</v>
      </c>
      <c r="C83" s="146">
        <f>'Jrnl Rev'!$C88</f>
        <v>0</v>
      </c>
      <c r="D83" s="147">
        <f>'Jrnl Rev'!$D88</f>
        <v>0</v>
      </c>
      <c r="E83" s="1519">
        <f>'Jrnl Rev'!$F88</f>
        <v>0</v>
      </c>
      <c r="F83" s="1519"/>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2">
      <c r="B84" s="146">
        <f>IF(AND('Jrnl Rev'!G89&lt;&gt;"",'Jrnl Rev'!C89&lt;&gt;""),1,0)</f>
        <v>0</v>
      </c>
      <c r="C84" s="146">
        <f>'Jrnl Rev'!$C89</f>
        <v>0</v>
      </c>
      <c r="D84" s="147">
        <f>'Jrnl Rev'!$D89</f>
        <v>0</v>
      </c>
      <c r="E84" s="1519">
        <f>'Jrnl Rev'!$F89</f>
        <v>0</v>
      </c>
      <c r="F84" s="1519"/>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2">
      <c r="B85" s="146">
        <f>IF(AND('Jrnl Rev'!G90&lt;&gt;"",'Jrnl Rev'!C90&lt;&gt;""),1,0)</f>
        <v>0</v>
      </c>
      <c r="C85" s="146">
        <f>'Jrnl Rev'!$C90</f>
        <v>0</v>
      </c>
      <c r="D85" s="147">
        <f>'Jrnl Rev'!$D90</f>
        <v>0</v>
      </c>
      <c r="E85" s="1519">
        <f>'Jrnl Rev'!$F90</f>
        <v>0</v>
      </c>
      <c r="F85" s="1519"/>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2">
      <c r="B86" s="146">
        <f>IF(AND('Jrnl Rev'!G91&lt;&gt;"",'Jrnl Rev'!C91&lt;&gt;""),1,0)</f>
        <v>0</v>
      </c>
      <c r="C86" s="146">
        <f>'Jrnl Rev'!$C91</f>
        <v>0</v>
      </c>
      <c r="D86" s="147">
        <f>'Jrnl Rev'!$D91</f>
        <v>0</v>
      </c>
      <c r="E86" s="1519">
        <f>'Jrnl Rev'!$F91</f>
        <v>0</v>
      </c>
      <c r="F86" s="1519"/>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2">
      <c r="B87" s="146">
        <f>IF(AND('Jrnl Rev'!G92&lt;&gt;"",'Jrnl Rev'!C92&lt;&gt;""),1,0)</f>
        <v>0</v>
      </c>
      <c r="C87" s="146">
        <f>'Jrnl Rev'!$C92</f>
        <v>0</v>
      </c>
      <c r="D87" s="147">
        <f>'Jrnl Rev'!$D92</f>
        <v>0</v>
      </c>
      <c r="E87" s="1519">
        <f>'Jrnl Rev'!$F92</f>
        <v>0</v>
      </c>
      <c r="F87" s="1519"/>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2">
      <c r="B88" s="146">
        <f>IF(AND('Jrnl Rev'!G93&lt;&gt;"",'Jrnl Rev'!C93&lt;&gt;""),1,0)</f>
        <v>0</v>
      </c>
      <c r="C88" s="146">
        <f>'Jrnl Rev'!$C93</f>
        <v>0</v>
      </c>
      <c r="D88" s="147">
        <f>'Jrnl Rev'!$D93</f>
        <v>0</v>
      </c>
      <c r="E88" s="1519">
        <f>'Jrnl Rev'!$F93</f>
        <v>0</v>
      </c>
      <c r="F88" s="1519"/>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2">
      <c r="B89" s="146">
        <f>IF(AND('Jrnl Rev'!G94&lt;&gt;"",'Jrnl Rev'!C94&lt;&gt;""),1,0)</f>
        <v>0</v>
      </c>
      <c r="C89" s="146">
        <f>'Jrnl Rev'!$C94</f>
        <v>0</v>
      </c>
      <c r="D89" s="147">
        <f>'Jrnl Rev'!$D94</f>
        <v>0</v>
      </c>
      <c r="E89" s="1519">
        <f>'Jrnl Rev'!$F94</f>
        <v>0</v>
      </c>
      <c r="F89" s="1519"/>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2">
      <c r="B90" s="146">
        <f>IF(AND('Jrnl Rev'!G95&lt;&gt;"",'Jrnl Rev'!C95&lt;&gt;""),1,0)</f>
        <v>0</v>
      </c>
      <c r="C90" s="146">
        <f>'Jrnl Rev'!$C95</f>
        <v>0</v>
      </c>
      <c r="D90" s="147">
        <f>'Jrnl Rev'!$D95</f>
        <v>0</v>
      </c>
      <c r="E90" s="1519">
        <f>'Jrnl Rev'!$F95</f>
        <v>0</v>
      </c>
      <c r="F90" s="1519"/>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2">
      <c r="B91" s="146">
        <f>IF(AND('Jrnl Rev'!G96&lt;&gt;"",'Jrnl Rev'!C96&lt;&gt;""),1,0)</f>
        <v>0</v>
      </c>
      <c r="C91" s="146">
        <f>'Jrnl Rev'!$C96</f>
        <v>0</v>
      </c>
      <c r="D91" s="147">
        <f>'Jrnl Rev'!$D96</f>
        <v>0</v>
      </c>
      <c r="E91" s="1519">
        <f>'Jrnl Rev'!$F96</f>
        <v>0</v>
      </c>
      <c r="F91" s="1519"/>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2">
      <c r="B92" s="146">
        <f>IF(AND('Jrnl Rev'!G97&lt;&gt;"",'Jrnl Rev'!C97&lt;&gt;""),1,0)</f>
        <v>0</v>
      </c>
      <c r="C92" s="146">
        <f>'Jrnl Rev'!$C97</f>
        <v>0</v>
      </c>
      <c r="D92" s="147">
        <f>'Jrnl Rev'!$D97</f>
        <v>0</v>
      </c>
      <c r="E92" s="1519">
        <f>'Jrnl Rev'!$F97</f>
        <v>0</v>
      </c>
      <c r="F92" s="1519"/>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2">
      <c r="B93" s="146">
        <f>IF(AND('Jrnl Rev'!G98&lt;&gt;"",'Jrnl Rev'!C98&lt;&gt;""),1,0)</f>
        <v>0</v>
      </c>
      <c r="C93" s="146">
        <f>'Jrnl Rev'!$C98</f>
        <v>0</v>
      </c>
      <c r="D93" s="147">
        <f>'Jrnl Rev'!$D98</f>
        <v>0</v>
      </c>
      <c r="E93" s="1519">
        <f>'Jrnl Rev'!$F98</f>
        <v>0</v>
      </c>
      <c r="F93" s="1519"/>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2">
      <c r="B94" s="146">
        <f>IF(AND('Jrnl Rev'!G99&lt;&gt;"",'Jrnl Rev'!C99&lt;&gt;""),1,0)</f>
        <v>0</v>
      </c>
      <c r="C94" s="146">
        <f>'Jrnl Rev'!$C99</f>
        <v>0</v>
      </c>
      <c r="D94" s="147">
        <f>'Jrnl Rev'!$D99</f>
        <v>0</v>
      </c>
      <c r="E94" s="1519">
        <f>'Jrnl Rev'!$F99</f>
        <v>0</v>
      </c>
      <c r="F94" s="1519"/>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2">
      <c r="B95" s="146">
        <f>IF(AND('Jrnl Rev'!G100&lt;&gt;"",'Jrnl Rev'!C100&lt;&gt;""),1,0)</f>
        <v>0</v>
      </c>
      <c r="C95" s="146">
        <f>'Jrnl Rev'!$C100</f>
        <v>0</v>
      </c>
      <c r="D95" s="147">
        <f>'Jrnl Rev'!$D100</f>
        <v>0</v>
      </c>
      <c r="E95" s="1519">
        <f>'Jrnl Rev'!$F100</f>
        <v>0</v>
      </c>
      <c r="F95" s="1519"/>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2">
      <c r="B96" s="146">
        <f>IF(AND('Jrnl Rev'!G101&lt;&gt;"",'Jrnl Rev'!C101&lt;&gt;""),1,0)</f>
        <v>0</v>
      </c>
      <c r="C96" s="146">
        <f>'Jrnl Rev'!$C101</f>
        <v>0</v>
      </c>
      <c r="D96" s="147">
        <f>'Jrnl Rev'!$D101</f>
        <v>0</v>
      </c>
      <c r="E96" s="1519">
        <f>'Jrnl Rev'!$F101</f>
        <v>0</v>
      </c>
      <c r="F96" s="1519"/>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2">
      <c r="B97" s="146">
        <f>IF(AND('Jrnl Rev'!G102&lt;&gt;"",'Jrnl Rev'!C102&lt;&gt;""),1,0)</f>
        <v>0</v>
      </c>
      <c r="C97" s="146">
        <f>'Jrnl Rev'!$C102</f>
        <v>0</v>
      </c>
      <c r="D97" s="147">
        <f>'Jrnl Rev'!$D102</f>
        <v>0</v>
      </c>
      <c r="E97" s="1519">
        <f>'Jrnl Rev'!$F102</f>
        <v>0</v>
      </c>
      <c r="F97" s="1519"/>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2">
      <c r="B98" s="146">
        <f>IF(AND('Jrnl Rev'!G103&lt;&gt;"",'Jrnl Rev'!C103&lt;&gt;""),1,0)</f>
        <v>0</v>
      </c>
      <c r="C98" s="146">
        <f>'Jrnl Rev'!$C103</f>
        <v>0</v>
      </c>
      <c r="D98" s="147">
        <f>'Jrnl Rev'!$D103</f>
        <v>0</v>
      </c>
      <c r="E98" s="1519">
        <f>'Jrnl Rev'!$F103</f>
        <v>0</v>
      </c>
      <c r="F98" s="1519"/>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2">
      <c r="B99" s="146">
        <f>IF(AND('Jrnl Rev'!G104&lt;&gt;"",'Jrnl Rev'!C104&lt;&gt;""),1,0)</f>
        <v>0</v>
      </c>
      <c r="C99" s="146">
        <f>'Jrnl Rev'!$C104</f>
        <v>0</v>
      </c>
      <c r="D99" s="147">
        <f>'Jrnl Rev'!$D104</f>
        <v>0</v>
      </c>
      <c r="E99" s="1519">
        <f>'Jrnl Rev'!$F104</f>
        <v>0</v>
      </c>
      <c r="F99" s="1519"/>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2">
      <c r="B100" s="146">
        <f>IF(AND('Jrnl Rev'!G105&lt;&gt;"",'Jrnl Rev'!C105&lt;&gt;""),1,0)</f>
        <v>0</v>
      </c>
      <c r="C100" s="146">
        <f>'Jrnl Rev'!$C105</f>
        <v>0</v>
      </c>
      <c r="D100" s="147">
        <f>'Jrnl Rev'!$D105</f>
        <v>0</v>
      </c>
      <c r="E100" s="1519">
        <f>'Jrnl Rev'!$F105</f>
        <v>0</v>
      </c>
      <c r="F100" s="1519"/>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2">
      <c r="B101" s="146">
        <f>IF(AND('Jrnl Rev'!G106&lt;&gt;"",'Jrnl Rev'!C106&lt;&gt;""),1,0)</f>
        <v>0</v>
      </c>
      <c r="C101" s="146">
        <f>'Jrnl Rev'!$C106</f>
        <v>0</v>
      </c>
      <c r="D101" s="147">
        <f>'Jrnl Rev'!$D106</f>
        <v>0</v>
      </c>
      <c r="E101" s="1519">
        <f>'Jrnl Rev'!$F106</f>
        <v>0</v>
      </c>
      <c r="F101" s="1519"/>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2">
      <c r="B102" s="146">
        <f>IF(AND('Jrnl Rev'!G107&lt;&gt;"",'Jrnl Rev'!C107&lt;&gt;""),1,0)</f>
        <v>0</v>
      </c>
      <c r="C102" s="146">
        <f>'Jrnl Rev'!$C107</f>
        <v>0</v>
      </c>
      <c r="D102" s="147">
        <f>'Jrnl Rev'!$D107</f>
        <v>0</v>
      </c>
      <c r="E102" s="1519">
        <f>'Jrnl Rev'!$F107</f>
        <v>0</v>
      </c>
      <c r="F102" s="1519"/>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2">
      <c r="B103" s="146">
        <f>IF(AND('Jrnl Rev'!G108&lt;&gt;"",'Jrnl Rev'!C108&lt;&gt;""),1,0)</f>
        <v>0</v>
      </c>
      <c r="C103" s="146">
        <f>'Jrnl Rev'!$C108</f>
        <v>0</v>
      </c>
      <c r="D103" s="147">
        <f>'Jrnl Rev'!$D108</f>
        <v>0</v>
      </c>
      <c r="E103" s="1519">
        <f>'Jrnl Rev'!$F108</f>
        <v>0</v>
      </c>
      <c r="F103" s="1519"/>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2">
      <c r="B104" s="146">
        <f>IF(AND('Jrnl Rev'!G109&lt;&gt;"",'Jrnl Rev'!C109&lt;&gt;""),1,0)</f>
        <v>0</v>
      </c>
      <c r="C104" s="146">
        <f>'Jrnl Rev'!$C109</f>
        <v>0</v>
      </c>
      <c r="D104" s="147">
        <f>'Jrnl Rev'!$D109</f>
        <v>0</v>
      </c>
      <c r="E104" s="1519">
        <f>'Jrnl Rev'!$F109</f>
        <v>0</v>
      </c>
      <c r="F104" s="1519"/>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2">
      <c r="B105" s="146">
        <f>IF(AND('Jrnl Rev'!G110&lt;&gt;"",'Jrnl Rev'!C110&lt;&gt;""),1,0)</f>
        <v>0</v>
      </c>
      <c r="C105" s="146">
        <f>'Jrnl Rev'!$C110</f>
        <v>0</v>
      </c>
      <c r="D105" s="147">
        <f>'Jrnl Rev'!$D110</f>
        <v>0</v>
      </c>
      <c r="E105" s="1519">
        <f>'Jrnl Rev'!$F110</f>
        <v>0</v>
      </c>
      <c r="F105" s="1519"/>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2">
      <c r="B106" s="146">
        <f>IF(AND('Jrnl Rev'!G111&lt;&gt;"",'Jrnl Rev'!C111&lt;&gt;""),1,0)</f>
        <v>0</v>
      </c>
      <c r="C106" s="146">
        <f>'Jrnl Rev'!$C111</f>
        <v>0</v>
      </c>
      <c r="D106" s="147">
        <f>'Jrnl Rev'!$D111</f>
        <v>0</v>
      </c>
      <c r="E106" s="1519">
        <f>'Jrnl Rev'!$F111</f>
        <v>0</v>
      </c>
      <c r="F106" s="1519"/>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2">
      <c r="B107" s="146">
        <f>IF(AND('Jrnl Rev'!G112&lt;&gt;"",'Jrnl Rev'!C112&lt;&gt;""),1,0)</f>
        <v>0</v>
      </c>
      <c r="C107" s="146">
        <f>'Jrnl Rev'!$C112</f>
        <v>0</v>
      </c>
      <c r="D107" s="147">
        <f>'Jrnl Rev'!$D112</f>
        <v>0</v>
      </c>
      <c r="E107" s="1519">
        <f>'Jrnl Rev'!$F112</f>
        <v>0</v>
      </c>
      <c r="F107" s="1519"/>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2">
      <c r="B108" s="146">
        <f>IF(AND('Jrnl Rev'!G113&lt;&gt;"",'Jrnl Rev'!C113&lt;&gt;""),1,0)</f>
        <v>0</v>
      </c>
      <c r="C108" s="146">
        <f>'Jrnl Rev'!$C113</f>
        <v>0</v>
      </c>
      <c r="D108" s="147">
        <f>'Jrnl Rev'!$D113</f>
        <v>0</v>
      </c>
      <c r="E108" s="1519">
        <f>'Jrnl Rev'!$F113</f>
        <v>0</v>
      </c>
      <c r="F108" s="1519"/>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2">
      <c r="B109" s="146">
        <f>IF(AND('Jrnl Rev'!G114&lt;&gt;"",'Jrnl Rev'!C114&lt;&gt;""),1,0)</f>
        <v>0</v>
      </c>
      <c r="C109" s="146">
        <f>'Jrnl Rev'!$C114</f>
        <v>0</v>
      </c>
      <c r="D109" s="147">
        <f>'Jrnl Rev'!$D114</f>
        <v>0</v>
      </c>
      <c r="E109" s="1519">
        <f>'Jrnl Rev'!$F114</f>
        <v>0</v>
      </c>
      <c r="F109" s="1519"/>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2">
      <c r="B110" s="146">
        <f>IF(AND('Jrnl Rev'!G115&lt;&gt;"",'Jrnl Rev'!C115&lt;&gt;""),1,0)</f>
        <v>0</v>
      </c>
      <c r="C110" s="146">
        <f>'Jrnl Rev'!$C115</f>
        <v>0</v>
      </c>
      <c r="D110" s="147">
        <f>'Jrnl Rev'!$D115</f>
        <v>0</v>
      </c>
      <c r="E110" s="1519">
        <f>'Jrnl Rev'!$F115</f>
        <v>0</v>
      </c>
      <c r="F110" s="1519"/>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2">
      <c r="B111" s="146">
        <f>IF(AND('Jrnl Rev'!G116&lt;&gt;"",'Jrnl Rev'!C116&lt;&gt;""),1,0)</f>
        <v>0</v>
      </c>
      <c r="C111" s="146">
        <f>'Jrnl Rev'!$C116</f>
        <v>0</v>
      </c>
      <c r="D111" s="147">
        <f>'Jrnl Rev'!$D116</f>
        <v>0</v>
      </c>
      <c r="E111" s="1519">
        <f>'Jrnl Rev'!$F116</f>
        <v>0</v>
      </c>
      <c r="F111" s="1519"/>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2">
      <c r="B112" s="146">
        <f>IF(AND('Jrnl Rev'!G117&lt;&gt;"",'Jrnl Rev'!C117&lt;&gt;""),1,0)</f>
        <v>0</v>
      </c>
      <c r="C112" s="146">
        <f>'Jrnl Rev'!$C117</f>
        <v>0</v>
      </c>
      <c r="D112" s="147">
        <f>'Jrnl Rev'!$D117</f>
        <v>0</v>
      </c>
      <c r="E112" s="1519">
        <f>'Jrnl Rev'!$F117</f>
        <v>0</v>
      </c>
      <c r="F112" s="1519"/>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2">
      <c r="B113" s="146">
        <f>IF(AND('Jrnl Rev'!G118&lt;&gt;"",'Jrnl Rev'!C118&lt;&gt;""),1,0)</f>
        <v>0</v>
      </c>
      <c r="C113" s="146">
        <f>'Jrnl Rev'!$C118</f>
        <v>0</v>
      </c>
      <c r="D113" s="147">
        <f>'Jrnl Rev'!$D118</f>
        <v>0</v>
      </c>
      <c r="E113" s="1519">
        <f>'Jrnl Rev'!$F118</f>
        <v>0</v>
      </c>
      <c r="F113" s="1519"/>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2">
      <c r="B114" s="146">
        <f>IF(AND('Jrnl Rev'!G119&lt;&gt;"",'Jrnl Rev'!C119&lt;&gt;""),1,0)</f>
        <v>0</v>
      </c>
      <c r="C114" s="146">
        <f>'Jrnl Rev'!$C119</f>
        <v>0</v>
      </c>
      <c r="D114" s="147">
        <f>'Jrnl Rev'!$D119</f>
        <v>0</v>
      </c>
      <c r="E114" s="1519">
        <f>'Jrnl Rev'!$F119</f>
        <v>0</v>
      </c>
      <c r="F114" s="1519"/>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2">
      <c r="B115" s="146">
        <f>IF(AND('Jrnl Rev'!G120&lt;&gt;"",'Jrnl Rev'!C120&lt;&gt;""),1,0)</f>
        <v>0</v>
      </c>
      <c r="C115" s="146">
        <f>'Jrnl Rev'!$C120</f>
        <v>0</v>
      </c>
      <c r="D115" s="147">
        <f>'Jrnl Rev'!$D120</f>
        <v>0</v>
      </c>
      <c r="E115" s="1519">
        <f>'Jrnl Rev'!$F120</f>
        <v>0</v>
      </c>
      <c r="F115" s="1519"/>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2">
      <c r="B116" s="146">
        <f>IF(AND('Jrnl Rev'!G121&lt;&gt;"",'Jrnl Rev'!C121&lt;&gt;""),1,0)</f>
        <v>0</v>
      </c>
      <c r="C116" s="146">
        <f>'Jrnl Rev'!$C121</f>
        <v>0</v>
      </c>
      <c r="D116" s="147">
        <f>'Jrnl Rev'!$D121</f>
        <v>0</v>
      </c>
      <c r="E116" s="1519">
        <f>'Jrnl Rev'!$F121</f>
        <v>0</v>
      </c>
      <c r="F116" s="1519"/>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2">
      <c r="B117" s="146">
        <f>IF(AND('Jrnl Rev'!G122&lt;&gt;"",'Jrnl Rev'!C122&lt;&gt;""),1,0)</f>
        <v>0</v>
      </c>
      <c r="C117" s="146">
        <f>'Jrnl Rev'!$C122</f>
        <v>0</v>
      </c>
      <c r="D117" s="147">
        <f>'Jrnl Rev'!$D122</f>
        <v>0</v>
      </c>
      <c r="E117" s="1519">
        <f>'Jrnl Rev'!$F122</f>
        <v>0</v>
      </c>
      <c r="F117" s="1519"/>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2">
      <c r="B118" s="146">
        <f>IF(AND('Jrnl Rev'!G123&lt;&gt;"",'Jrnl Rev'!C123&lt;&gt;""),1,0)</f>
        <v>0</v>
      </c>
      <c r="C118" s="146">
        <f>'Jrnl Rev'!$C123</f>
        <v>0</v>
      </c>
      <c r="D118" s="147">
        <f>'Jrnl Rev'!$D123</f>
        <v>0</v>
      </c>
      <c r="E118" s="1519">
        <f>'Jrnl Rev'!$F123</f>
        <v>0</v>
      </c>
      <c r="F118" s="1519"/>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2">
      <c r="B119" s="146">
        <f>IF(AND('Jrnl Rev'!G124&lt;&gt;"",'Jrnl Rev'!C124&lt;&gt;""),1,0)</f>
        <v>0</v>
      </c>
      <c r="C119" s="146">
        <f>'Jrnl Rev'!$C124</f>
        <v>0</v>
      </c>
      <c r="D119" s="147">
        <f>'Jrnl Rev'!$D124</f>
        <v>0</v>
      </c>
      <c r="E119" s="1519">
        <f>'Jrnl Rev'!$F124</f>
        <v>0</v>
      </c>
      <c r="F119" s="1519"/>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2">
      <c r="B120" s="146">
        <f>IF(AND('Jrnl Rev'!G125&lt;&gt;"",'Jrnl Rev'!C125&lt;&gt;""),1,0)</f>
        <v>0</v>
      </c>
      <c r="C120" s="146">
        <f>'Jrnl Rev'!$C125</f>
        <v>0</v>
      </c>
      <c r="D120" s="147">
        <f>'Jrnl Rev'!$D125</f>
        <v>0</v>
      </c>
      <c r="E120" s="1519">
        <f>'Jrnl Rev'!$F125</f>
        <v>0</v>
      </c>
      <c r="F120" s="1519"/>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2">
      <c r="B121" s="146">
        <f>IF(AND('Jrnl Rev'!G126&lt;&gt;"",'Jrnl Rev'!C126&lt;&gt;""),1,0)</f>
        <v>0</v>
      </c>
      <c r="C121" s="146">
        <f>'Jrnl Rev'!$C126</f>
        <v>0</v>
      </c>
      <c r="D121" s="147">
        <f>'Jrnl Rev'!$D126</f>
        <v>0</v>
      </c>
      <c r="E121" s="1519">
        <f>'Jrnl Rev'!$F126</f>
        <v>0</v>
      </c>
      <c r="F121" s="1519"/>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2">
      <c r="B122" s="146">
        <f>IF(AND('Jrnl Rev'!G127&lt;&gt;"",'Jrnl Rev'!C127&lt;&gt;""),1,0)</f>
        <v>0</v>
      </c>
      <c r="C122" s="146">
        <f>'Jrnl Rev'!$C127</f>
        <v>0</v>
      </c>
      <c r="D122" s="147">
        <f>'Jrnl Rev'!$D127</f>
        <v>0</v>
      </c>
      <c r="E122" s="1519">
        <f>'Jrnl Rev'!$F127</f>
        <v>0</v>
      </c>
      <c r="F122" s="1519"/>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2">
      <c r="B123" s="146">
        <f>IF(AND('Jrnl Rev'!G128&lt;&gt;"",'Jrnl Rev'!C128&lt;&gt;""),1,0)</f>
        <v>0</v>
      </c>
      <c r="C123" s="146">
        <f>'Jrnl Rev'!$C128</f>
        <v>0</v>
      </c>
      <c r="D123" s="147">
        <f>'Jrnl Rev'!$D128</f>
        <v>0</v>
      </c>
      <c r="E123" s="1519">
        <f>'Jrnl Rev'!$F128</f>
        <v>0</v>
      </c>
      <c r="F123" s="1519"/>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2">
      <c r="B124" s="146">
        <f>IF(AND('Jrnl Rev'!G129&lt;&gt;"",'Jrnl Rev'!C129&lt;&gt;""),1,0)</f>
        <v>0</v>
      </c>
      <c r="C124" s="146">
        <f>'Jrnl Rev'!$C129</f>
        <v>0</v>
      </c>
      <c r="D124" s="147">
        <f>'Jrnl Rev'!$D129</f>
        <v>0</v>
      </c>
      <c r="E124" s="1519">
        <f>'Jrnl Rev'!$F129</f>
        <v>0</v>
      </c>
      <c r="F124" s="1519"/>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2">
      <c r="B125" s="146">
        <f>IF(AND('Jrnl Rev'!G130&lt;&gt;"",'Jrnl Rev'!C130&lt;&gt;""),1,0)</f>
        <v>0</v>
      </c>
      <c r="C125" s="146">
        <f>'Jrnl Rev'!$C130</f>
        <v>0</v>
      </c>
      <c r="D125" s="147">
        <f>'Jrnl Rev'!$D130</f>
        <v>0</v>
      </c>
      <c r="E125" s="1519">
        <f>'Jrnl Rev'!$F130</f>
        <v>0</v>
      </c>
      <c r="F125" s="1519"/>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2">
      <c r="B126" s="146">
        <f>IF(AND('Jrnl Rev'!G131&lt;&gt;"",'Jrnl Rev'!C131&lt;&gt;""),1,0)</f>
        <v>0</v>
      </c>
      <c r="C126" s="146">
        <f>'Jrnl Rev'!$C131</f>
        <v>0</v>
      </c>
      <c r="D126" s="147">
        <f>'Jrnl Rev'!$D131</f>
        <v>0</v>
      </c>
      <c r="E126" s="1519">
        <f>'Jrnl Rev'!$F131</f>
        <v>0</v>
      </c>
      <c r="F126" s="1519"/>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2">
      <c r="B127" s="146">
        <f>IF(AND('Jrnl Rev'!G132&lt;&gt;"",'Jrnl Rev'!C132&lt;&gt;""),1,0)</f>
        <v>0</v>
      </c>
      <c r="C127" s="146">
        <f>'Jrnl Rev'!$C132</f>
        <v>0</v>
      </c>
      <c r="D127" s="147">
        <f>'Jrnl Rev'!$D132</f>
        <v>0</v>
      </c>
      <c r="E127" s="1519">
        <f>'Jrnl Rev'!$F132</f>
        <v>0</v>
      </c>
      <c r="F127" s="1519"/>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2">
      <c r="B128" s="146">
        <f>IF(AND('Jrnl Rev'!G133&lt;&gt;"",'Jrnl Rev'!C133&lt;&gt;""),1,0)</f>
        <v>0</v>
      </c>
      <c r="C128" s="146">
        <f>'Jrnl Rev'!$C133</f>
        <v>0</v>
      </c>
      <c r="D128" s="147">
        <f>'Jrnl Rev'!$D133</f>
        <v>0</v>
      </c>
      <c r="E128" s="1519">
        <f>'Jrnl Rev'!$F133</f>
        <v>0</v>
      </c>
      <c r="F128" s="1519"/>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2">
      <c r="B129" s="146">
        <f>IF(AND('Jrnl Rev'!G134&lt;&gt;"",'Jrnl Rev'!C134&lt;&gt;""),1,0)</f>
        <v>0</v>
      </c>
      <c r="C129" s="146">
        <f>'Jrnl Rev'!$C134</f>
        <v>0</v>
      </c>
      <c r="D129" s="147">
        <f>'Jrnl Rev'!$D134</f>
        <v>0</v>
      </c>
      <c r="E129" s="1519">
        <f>'Jrnl Rev'!$F134</f>
        <v>0</v>
      </c>
      <c r="F129" s="1519"/>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2">
      <c r="B130" s="146">
        <f>IF(AND('Jrnl Rev'!G135&lt;&gt;"",'Jrnl Rev'!C135&lt;&gt;""),1,0)</f>
        <v>0</v>
      </c>
      <c r="C130" s="146">
        <f>'Jrnl Rev'!$C135</f>
        <v>0</v>
      </c>
      <c r="D130" s="147">
        <f>'Jrnl Rev'!$D135</f>
        <v>0</v>
      </c>
      <c r="E130" s="1519">
        <f>'Jrnl Rev'!$F135</f>
        <v>0</v>
      </c>
      <c r="F130" s="1519"/>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2">
      <c r="B131" s="146">
        <f>IF(AND('Jrnl Rev'!G136&lt;&gt;"",'Jrnl Rev'!C136&lt;&gt;""),1,0)</f>
        <v>0</v>
      </c>
      <c r="C131" s="146">
        <f>'Jrnl Rev'!$C136</f>
        <v>0</v>
      </c>
      <c r="D131" s="147">
        <f>'Jrnl Rev'!$D136</f>
        <v>0</v>
      </c>
      <c r="E131" s="1519">
        <f>'Jrnl Rev'!$F136</f>
        <v>0</v>
      </c>
      <c r="F131" s="1519"/>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2">
      <c r="B132" s="146">
        <f>IF(AND('Jrnl Rev'!G137&lt;&gt;"",'Jrnl Rev'!C137&lt;&gt;""),1,0)</f>
        <v>0</v>
      </c>
      <c r="C132" s="146">
        <f>'Jrnl Rev'!$C137</f>
        <v>0</v>
      </c>
      <c r="D132" s="147">
        <f>'Jrnl Rev'!$D137</f>
        <v>0</v>
      </c>
      <c r="E132" s="1519">
        <f>'Jrnl Rev'!$F137</f>
        <v>0</v>
      </c>
      <c r="F132" s="1519"/>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2">
      <c r="B133" s="146">
        <f>IF(AND('Jrnl Rev'!G138&lt;&gt;"",'Jrnl Rev'!C138&lt;&gt;""),1,0)</f>
        <v>0</v>
      </c>
      <c r="C133" s="146">
        <f>'Jrnl Rev'!$C138</f>
        <v>0</v>
      </c>
      <c r="D133" s="147">
        <f>'Jrnl Rev'!$D138</f>
        <v>0</v>
      </c>
      <c r="E133" s="1519">
        <f>'Jrnl Rev'!$F138</f>
        <v>0</v>
      </c>
      <c r="F133" s="1519"/>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2">
      <c r="B134" s="146">
        <f>IF(AND('Jrnl Rev'!G139&lt;&gt;"",'Jrnl Rev'!C139&lt;&gt;""),1,0)</f>
        <v>0</v>
      </c>
      <c r="C134" s="146">
        <f>'Jrnl Rev'!$C139</f>
        <v>0</v>
      </c>
      <c r="D134" s="147">
        <f>'Jrnl Rev'!$D139</f>
        <v>0</v>
      </c>
      <c r="E134" s="1519">
        <f>'Jrnl Rev'!$F139</f>
        <v>0</v>
      </c>
      <c r="F134" s="1519"/>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2">
      <c r="B135" s="146">
        <f>IF(AND('Jrnl Rev'!G140&lt;&gt;"",'Jrnl Rev'!C140&lt;&gt;""),1,0)</f>
        <v>0</v>
      </c>
      <c r="C135" s="146">
        <f>'Jrnl Rev'!$C140</f>
        <v>0</v>
      </c>
      <c r="D135" s="147">
        <f>'Jrnl Rev'!$D140</f>
        <v>0</v>
      </c>
      <c r="E135" s="1519">
        <f>'Jrnl Rev'!$F140</f>
        <v>0</v>
      </c>
      <c r="F135" s="1519"/>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2">
      <c r="B136" s="146">
        <f>IF(AND('Jrnl Rev'!G141&lt;&gt;"",'Jrnl Rev'!C141&lt;&gt;""),1,0)</f>
        <v>0</v>
      </c>
      <c r="C136" s="146">
        <f>'Jrnl Rev'!$C141</f>
        <v>0</v>
      </c>
      <c r="D136" s="147">
        <f>'Jrnl Rev'!$D141</f>
        <v>0</v>
      </c>
      <c r="E136" s="1519">
        <f>'Jrnl Rev'!$F141</f>
        <v>0</v>
      </c>
      <c r="F136" s="1519"/>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2">
      <c r="B137" s="146">
        <f>IF(AND('Jrnl Rev'!G142&lt;&gt;"",'Jrnl Rev'!C142&lt;&gt;""),1,0)</f>
        <v>0</v>
      </c>
      <c r="C137" s="146">
        <f>'Jrnl Rev'!$C142</f>
        <v>0</v>
      </c>
      <c r="D137" s="147">
        <f>'Jrnl Rev'!$D142</f>
        <v>0</v>
      </c>
      <c r="E137" s="1519">
        <f>'Jrnl Rev'!$F142</f>
        <v>0</v>
      </c>
      <c r="F137" s="1519"/>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2">
      <c r="B138" s="146">
        <f>IF(AND('Jrnl Rev'!G143&lt;&gt;"",'Jrnl Rev'!C143&lt;&gt;""),1,0)</f>
        <v>0</v>
      </c>
      <c r="C138" s="146">
        <f>'Jrnl Rev'!$C143</f>
        <v>0</v>
      </c>
      <c r="D138" s="147">
        <f>'Jrnl Rev'!$D143</f>
        <v>0</v>
      </c>
      <c r="E138" s="1519">
        <f>'Jrnl Rev'!$F143</f>
        <v>0</v>
      </c>
      <c r="F138" s="1519"/>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2">
      <c r="B139" s="146">
        <f>IF(AND('Jrnl Rev'!G144&lt;&gt;"",'Jrnl Rev'!C144&lt;&gt;""),1,0)</f>
        <v>0</v>
      </c>
      <c r="C139" s="146">
        <f>'Jrnl Rev'!$C144</f>
        <v>0</v>
      </c>
      <c r="D139" s="147">
        <f>'Jrnl Rev'!$D144</f>
        <v>0</v>
      </c>
      <c r="E139" s="1519">
        <f>'Jrnl Rev'!$F144</f>
        <v>0</v>
      </c>
      <c r="F139" s="1519"/>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2">
      <c r="B140" s="146">
        <f>IF(AND('Jrnl Rev'!G145&lt;&gt;"",'Jrnl Rev'!C145&lt;&gt;""),1,0)</f>
        <v>0</v>
      </c>
      <c r="C140" s="146">
        <f>'Jrnl Rev'!$C145</f>
        <v>0</v>
      </c>
      <c r="D140" s="147">
        <f>'Jrnl Rev'!$D145</f>
        <v>0</v>
      </c>
      <c r="E140" s="1519">
        <f>'Jrnl Rev'!$F145</f>
        <v>0</v>
      </c>
      <c r="F140" s="1519"/>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2">
      <c r="B141" s="146">
        <f>IF(AND('Jrnl Rev'!G146&lt;&gt;"",'Jrnl Rev'!C146&lt;&gt;""),1,0)</f>
        <v>0</v>
      </c>
      <c r="C141" s="146">
        <f>'Jrnl Rev'!$C146</f>
        <v>0</v>
      </c>
      <c r="D141" s="147">
        <f>'Jrnl Rev'!$D146</f>
        <v>0</v>
      </c>
      <c r="E141" s="1519">
        <f>'Jrnl Rev'!$F146</f>
        <v>0</v>
      </c>
      <c r="F141" s="1519"/>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2">
      <c r="B142" s="146">
        <f>IF(AND('Jrnl Rev'!G147&lt;&gt;"",'Jrnl Rev'!C147&lt;&gt;""),1,0)</f>
        <v>0</v>
      </c>
      <c r="C142" s="146">
        <f>'Jrnl Rev'!$C147</f>
        <v>0</v>
      </c>
      <c r="D142" s="147">
        <f>'Jrnl Rev'!$D147</f>
        <v>0</v>
      </c>
      <c r="E142" s="1519">
        <f>'Jrnl Rev'!$F147</f>
        <v>0</v>
      </c>
      <c r="F142" s="1519"/>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2">
      <c r="B143" s="146">
        <f>IF(AND('Jrnl Rev'!G148&lt;&gt;"",'Jrnl Rev'!C148&lt;&gt;""),1,0)</f>
        <v>0</v>
      </c>
      <c r="C143" s="146">
        <f>'Jrnl Rev'!$C148</f>
        <v>0</v>
      </c>
      <c r="D143" s="147">
        <f>'Jrnl Rev'!$D148</f>
        <v>0</v>
      </c>
      <c r="E143" s="1519">
        <f>'Jrnl Rev'!$F148</f>
        <v>0</v>
      </c>
      <c r="F143" s="1519"/>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2">
      <c r="B144" s="146">
        <f>IF(AND('Jrnl Rev'!G149&lt;&gt;"",'Jrnl Rev'!C149&lt;&gt;""),1,0)</f>
        <v>0</v>
      </c>
      <c r="C144" s="146">
        <f>'Jrnl Rev'!$C149</f>
        <v>0</v>
      </c>
      <c r="D144" s="147">
        <f>'Jrnl Rev'!$D149</f>
        <v>0</v>
      </c>
      <c r="E144" s="1519">
        <f>'Jrnl Rev'!$F149</f>
        <v>0</v>
      </c>
      <c r="F144" s="1519"/>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2">
      <c r="B145" s="146">
        <f>IF(AND('Jrnl Rev'!G150&lt;&gt;"",'Jrnl Rev'!C150&lt;&gt;""),1,0)</f>
        <v>0</v>
      </c>
      <c r="C145" s="146">
        <f>'Jrnl Rev'!$C150</f>
        <v>0</v>
      </c>
      <c r="D145" s="147">
        <f>'Jrnl Rev'!$D150</f>
        <v>0</v>
      </c>
      <c r="E145" s="1519">
        <f>'Jrnl Rev'!$F150</f>
        <v>0</v>
      </c>
      <c r="F145" s="1519"/>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2">
      <c r="B146" s="146">
        <f>IF(AND('Jrnl Rev'!G151&lt;&gt;"",'Jrnl Rev'!C151&lt;&gt;""),1,0)</f>
        <v>0</v>
      </c>
      <c r="C146" s="146">
        <f>'Jrnl Rev'!$C151</f>
        <v>0</v>
      </c>
      <c r="D146" s="147">
        <f>'Jrnl Rev'!$D151</f>
        <v>0</v>
      </c>
      <c r="E146" s="1519">
        <f>'Jrnl Rev'!$F151</f>
        <v>0</v>
      </c>
      <c r="F146" s="1519"/>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2">
      <c r="B147" s="146">
        <f>IF(AND('Jrnl Rev'!G152&lt;&gt;"",'Jrnl Rev'!C152&lt;&gt;""),1,0)</f>
        <v>0</v>
      </c>
      <c r="C147" s="146">
        <f>'Jrnl Rev'!$C152</f>
        <v>0</v>
      </c>
      <c r="D147" s="147">
        <f>'Jrnl Rev'!$D152</f>
        <v>0</v>
      </c>
      <c r="E147" s="1519">
        <f>'Jrnl Rev'!$F152</f>
        <v>0</v>
      </c>
      <c r="F147" s="1519"/>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2">
      <c r="B148" s="146">
        <f>IF(AND('Jrnl Rev'!G153&lt;&gt;"",'Jrnl Rev'!C153&lt;&gt;""),1,0)</f>
        <v>0</v>
      </c>
      <c r="C148" s="146">
        <f>'Jrnl Rev'!$C153</f>
        <v>0</v>
      </c>
      <c r="D148" s="147">
        <f>'Jrnl Rev'!$D153</f>
        <v>0</v>
      </c>
      <c r="E148" s="1519">
        <f>'Jrnl Rev'!$F153</f>
        <v>0</v>
      </c>
      <c r="F148" s="1519"/>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2">
      <c r="B149" s="146">
        <f>IF(AND('Jrnl Rev'!G154&lt;&gt;"",'Jrnl Rev'!C154&lt;&gt;""),1,0)</f>
        <v>0</v>
      </c>
      <c r="C149" s="146">
        <f>'Jrnl Rev'!$C154</f>
        <v>0</v>
      </c>
      <c r="D149" s="147">
        <f>'Jrnl Rev'!$D154</f>
        <v>0</v>
      </c>
      <c r="E149" s="1519">
        <f>'Jrnl Rev'!$F154</f>
        <v>0</v>
      </c>
      <c r="F149" s="1519"/>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2">
      <c r="B150" s="146">
        <f>IF(AND('Jrnl Rev'!G155&lt;&gt;"",'Jrnl Rev'!C155&lt;&gt;""),1,0)</f>
        <v>0</v>
      </c>
      <c r="C150" s="146">
        <f>'Jrnl Rev'!$C155</f>
        <v>0</v>
      </c>
      <c r="D150" s="147">
        <f>'Jrnl Rev'!$D155</f>
        <v>0</v>
      </c>
      <c r="E150" s="1519">
        <f>'Jrnl Rev'!$F155</f>
        <v>0</v>
      </c>
      <c r="F150" s="1519"/>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2">
      <c r="B151" s="146">
        <f>IF(AND('Jrnl Rev'!G156&lt;&gt;"",'Jrnl Rev'!C156&lt;&gt;""),1,0)</f>
        <v>0</v>
      </c>
      <c r="C151" s="146">
        <f>'Jrnl Rev'!$C156</f>
        <v>0</v>
      </c>
      <c r="D151" s="147">
        <f>'Jrnl Rev'!$D156</f>
        <v>0</v>
      </c>
      <c r="E151" s="1519">
        <f>'Jrnl Rev'!$F156</f>
        <v>0</v>
      </c>
      <c r="F151" s="1519"/>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2">
      <c r="B152" s="146">
        <f>IF(AND('Jrnl Rev'!G157&lt;&gt;"",'Jrnl Rev'!C157&lt;&gt;""),1,0)</f>
        <v>0</v>
      </c>
      <c r="C152" s="146">
        <f>'Jrnl Rev'!$C157</f>
        <v>0</v>
      </c>
      <c r="D152" s="147">
        <f>'Jrnl Rev'!$D157</f>
        <v>0</v>
      </c>
      <c r="E152" s="1519">
        <f>'Jrnl Rev'!$F157</f>
        <v>0</v>
      </c>
      <c r="F152" s="1519"/>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2">
      <c r="B153" s="146">
        <f>IF(AND('Jrnl Rev'!G158&lt;&gt;"",'Jrnl Rev'!C158&lt;&gt;""),1,0)</f>
        <v>0</v>
      </c>
      <c r="C153" s="146">
        <f>'Jrnl Rev'!$C158</f>
        <v>0</v>
      </c>
      <c r="D153" s="147">
        <f>'Jrnl Rev'!$D158</f>
        <v>0</v>
      </c>
      <c r="E153" s="1519">
        <f>'Jrnl Rev'!$F158</f>
        <v>0</v>
      </c>
      <c r="F153" s="1519"/>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2">
      <c r="B154" s="146">
        <f>IF(AND('Jrnl Rev'!G159&lt;&gt;"",'Jrnl Rev'!C159&lt;&gt;""),1,0)</f>
        <v>0</v>
      </c>
      <c r="C154" s="146">
        <f>'Jrnl Rev'!$C159</f>
        <v>0</v>
      </c>
      <c r="D154" s="147">
        <f>'Jrnl Rev'!$D159</f>
        <v>0</v>
      </c>
      <c r="E154" s="1519">
        <f>'Jrnl Rev'!$F159</f>
        <v>0</v>
      </c>
      <c r="F154" s="1519"/>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2">
      <c r="B155" s="146">
        <f>IF(AND('Jrnl Rev'!G160&lt;&gt;"",'Jrnl Rev'!C160&lt;&gt;""),1,0)</f>
        <v>0</v>
      </c>
      <c r="C155" s="146">
        <f>'Jrnl Rev'!$C160</f>
        <v>0</v>
      </c>
      <c r="D155" s="147">
        <f>'Jrnl Rev'!$D160</f>
        <v>0</v>
      </c>
      <c r="E155" s="1519">
        <f>'Jrnl Rev'!$F160</f>
        <v>0</v>
      </c>
      <c r="F155" s="1519"/>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2">
      <c r="B156" s="146">
        <f>IF(AND('Jrnl Rev'!G161&lt;&gt;"",'Jrnl Rev'!C161&lt;&gt;""),1,0)</f>
        <v>0</v>
      </c>
      <c r="C156" s="146">
        <f>'Jrnl Rev'!$C161</f>
        <v>0</v>
      </c>
      <c r="D156" s="147">
        <f>'Jrnl Rev'!$D161</f>
        <v>0</v>
      </c>
      <c r="E156" s="1519">
        <f>'Jrnl Rev'!$F161</f>
        <v>0</v>
      </c>
      <c r="F156" s="1519"/>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2">
      <c r="B157" s="146">
        <f>IF(AND('Jrnl Rev'!G162&lt;&gt;"",'Jrnl Rev'!C162&lt;&gt;""),1,0)</f>
        <v>0</v>
      </c>
      <c r="C157" s="146">
        <f>'Jrnl Rev'!$C162</f>
        <v>0</v>
      </c>
      <c r="D157" s="147">
        <f>'Jrnl Rev'!$D162</f>
        <v>0</v>
      </c>
      <c r="E157" s="1519">
        <f>'Jrnl Rev'!$F162</f>
        <v>0</v>
      </c>
      <c r="F157" s="1519"/>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2">
      <c r="B158" s="146">
        <f>IF(AND('Jrnl Rev'!G163&lt;&gt;"",'Jrnl Rev'!C163&lt;&gt;""),1,0)</f>
        <v>0</v>
      </c>
      <c r="C158" s="146">
        <f>'Jrnl Rev'!$C163</f>
        <v>0</v>
      </c>
      <c r="D158" s="147">
        <f>'Jrnl Rev'!$D163</f>
        <v>0</v>
      </c>
      <c r="E158" s="1519">
        <f>'Jrnl Rev'!$F163</f>
        <v>0</v>
      </c>
      <c r="F158" s="1519"/>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2">
      <c r="B159" s="146">
        <f>IF(AND('Jrnl Rev'!G164&lt;&gt;"",'Jrnl Rev'!C164&lt;&gt;""),1,0)</f>
        <v>0</v>
      </c>
      <c r="C159" s="146">
        <f>'Jrnl Rev'!$C164</f>
        <v>0</v>
      </c>
      <c r="D159" s="147">
        <f>'Jrnl Rev'!$D164</f>
        <v>0</v>
      </c>
      <c r="E159" s="1519">
        <f>'Jrnl Rev'!$F164</f>
        <v>0</v>
      </c>
      <c r="F159" s="1519"/>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2">
      <c r="B160" s="146">
        <f>IF(AND('Jrnl Rev'!G165&lt;&gt;"",'Jrnl Rev'!C165&lt;&gt;""),1,0)</f>
        <v>0</v>
      </c>
      <c r="C160" s="146">
        <f>'Jrnl Rev'!$C165</f>
        <v>0</v>
      </c>
      <c r="D160" s="147">
        <f>'Jrnl Rev'!$D165</f>
        <v>0</v>
      </c>
      <c r="E160" s="1519">
        <f>'Jrnl Rev'!$F165</f>
        <v>0</v>
      </c>
      <c r="F160" s="1519"/>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2">
      <c r="B161" s="146">
        <f>IF(AND('Jrnl Rev'!G166&lt;&gt;"",'Jrnl Rev'!C166&lt;&gt;""),1,0)</f>
        <v>0</v>
      </c>
      <c r="C161" s="146">
        <f>'Jrnl Rev'!$C166</f>
        <v>0</v>
      </c>
      <c r="D161" s="147">
        <f>'Jrnl Rev'!$D166</f>
        <v>0</v>
      </c>
      <c r="E161" s="1519">
        <f>'Jrnl Rev'!$F166</f>
        <v>0</v>
      </c>
      <c r="F161" s="1519"/>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2">
      <c r="B162" s="146">
        <f>IF(AND('Jrnl Rev'!G167&lt;&gt;"",'Jrnl Rev'!C167&lt;&gt;""),1,0)</f>
        <v>0</v>
      </c>
      <c r="C162" s="146">
        <f>'Jrnl Rev'!$C167</f>
        <v>0</v>
      </c>
      <c r="D162" s="147">
        <f>'Jrnl Rev'!$D167</f>
        <v>0</v>
      </c>
      <c r="E162" s="1519">
        <f>'Jrnl Rev'!$F167</f>
        <v>0</v>
      </c>
      <c r="F162" s="1519"/>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2">
      <c r="B163" s="146">
        <f>IF(AND('Jrnl Rev'!G168&lt;&gt;"",'Jrnl Rev'!C168&lt;&gt;""),1,0)</f>
        <v>0</v>
      </c>
      <c r="C163" s="146">
        <f>'Jrnl Rev'!$C168</f>
        <v>0</v>
      </c>
      <c r="D163" s="147">
        <f>'Jrnl Rev'!$D168</f>
        <v>0</v>
      </c>
      <c r="E163" s="1519">
        <f>'Jrnl Rev'!$F168</f>
        <v>0</v>
      </c>
      <c r="F163" s="1519"/>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2">
      <c r="B164" s="146">
        <f>IF(AND('Jrnl Rev'!G169&lt;&gt;"",'Jrnl Rev'!C169&lt;&gt;""),1,0)</f>
        <v>0</v>
      </c>
      <c r="C164" s="146">
        <f>'Jrnl Rev'!$C169</f>
        <v>0</v>
      </c>
      <c r="D164" s="147">
        <f>'Jrnl Rev'!$D169</f>
        <v>0</v>
      </c>
      <c r="E164" s="1519">
        <f>'Jrnl Rev'!$F169</f>
        <v>0</v>
      </c>
      <c r="F164" s="1519"/>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2">
      <c r="B165" s="146">
        <f>IF(AND('Jrnl Rev'!G170&lt;&gt;"",'Jrnl Rev'!C170&lt;&gt;""),1,0)</f>
        <v>0</v>
      </c>
      <c r="C165" s="146">
        <f>'Jrnl Rev'!$C170</f>
        <v>0</v>
      </c>
      <c r="D165" s="147">
        <f>'Jrnl Rev'!$D170</f>
        <v>0</v>
      </c>
      <c r="E165" s="1519">
        <f>'Jrnl Rev'!$F170</f>
        <v>0</v>
      </c>
      <c r="F165" s="1519"/>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2">
      <c r="B166" s="146">
        <f>IF(AND('Jrnl Rev'!G171&lt;&gt;"",'Jrnl Rev'!C171&lt;&gt;""),1,0)</f>
        <v>0</v>
      </c>
      <c r="C166" s="146">
        <f>'Jrnl Rev'!$C171</f>
        <v>0</v>
      </c>
      <c r="D166" s="147">
        <f>'Jrnl Rev'!$D171</f>
        <v>0</v>
      </c>
      <c r="E166" s="1519">
        <f>'Jrnl Rev'!$F171</f>
        <v>0</v>
      </c>
      <c r="F166" s="1519"/>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2">
      <c r="B167" s="146">
        <f>IF(AND('Jrnl Rev'!G172&lt;&gt;"",'Jrnl Rev'!C172&lt;&gt;""),1,0)</f>
        <v>0</v>
      </c>
      <c r="C167" s="146">
        <f>'Jrnl Rev'!$C172</f>
        <v>0</v>
      </c>
      <c r="D167" s="147">
        <f>'Jrnl Rev'!$D172</f>
        <v>0</v>
      </c>
      <c r="E167" s="1519">
        <f>'Jrnl Rev'!$F172</f>
        <v>0</v>
      </c>
      <c r="F167" s="1519"/>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2">
      <c r="B168" s="146">
        <f>IF(AND('Jrnl Rev'!G173&lt;&gt;"",'Jrnl Rev'!C173&lt;&gt;""),1,0)</f>
        <v>0</v>
      </c>
      <c r="C168" s="146">
        <f>'Jrnl Rev'!$C173</f>
        <v>0</v>
      </c>
      <c r="D168" s="147">
        <f>'Jrnl Rev'!$D173</f>
        <v>0</v>
      </c>
      <c r="E168" s="1519">
        <f>'Jrnl Rev'!$F173</f>
        <v>0</v>
      </c>
      <c r="F168" s="1519"/>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2">
      <c r="B169" s="146">
        <f>IF(AND('Jrnl Rev'!G174&lt;&gt;"",'Jrnl Rev'!C174&lt;&gt;""),1,0)</f>
        <v>0</v>
      </c>
      <c r="C169" s="146">
        <f>'Jrnl Rev'!$C174</f>
        <v>0</v>
      </c>
      <c r="D169" s="147">
        <f>'Jrnl Rev'!$D174</f>
        <v>0</v>
      </c>
      <c r="E169" s="1519">
        <f>'Jrnl Rev'!$F174</f>
        <v>0</v>
      </c>
      <c r="F169" s="1519"/>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2">
      <c r="B170" s="146">
        <f>IF(AND('Jrnl Rev'!G175&lt;&gt;"",'Jrnl Rev'!C175&lt;&gt;""),1,0)</f>
        <v>0</v>
      </c>
      <c r="C170" s="146">
        <f>'Jrnl Rev'!$C175</f>
        <v>0</v>
      </c>
      <c r="D170" s="147">
        <f>'Jrnl Rev'!$D175</f>
        <v>0</v>
      </c>
      <c r="E170" s="1519">
        <f>'Jrnl Rev'!$F175</f>
        <v>0</v>
      </c>
      <c r="F170" s="1519"/>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2">
      <c r="B171" s="146">
        <f>IF(AND('Jrnl Rev'!G176&lt;&gt;"",'Jrnl Rev'!C176&lt;&gt;""),1,0)</f>
        <v>0</v>
      </c>
      <c r="C171" s="146">
        <f>'Jrnl Rev'!$C176</f>
        <v>0</v>
      </c>
      <c r="D171" s="147">
        <f>'Jrnl Rev'!$D176</f>
        <v>0</v>
      </c>
      <c r="E171" s="1519">
        <f>'Jrnl Rev'!$F176</f>
        <v>0</v>
      </c>
      <c r="F171" s="1519"/>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2">
      <c r="B172" s="146">
        <f>IF(AND('Jrnl Rev'!G177&lt;&gt;"",'Jrnl Rev'!C177&lt;&gt;""),1,0)</f>
        <v>0</v>
      </c>
      <c r="C172" s="146">
        <f>'Jrnl Rev'!$C177</f>
        <v>0</v>
      </c>
      <c r="D172" s="147">
        <f>'Jrnl Rev'!$D177</f>
        <v>0</v>
      </c>
      <c r="E172" s="1519">
        <f>'Jrnl Rev'!$F177</f>
        <v>0</v>
      </c>
      <c r="F172" s="1519"/>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2">
      <c r="B173" s="146">
        <f>IF(AND('Jrnl Rev'!G178&lt;&gt;"",'Jrnl Rev'!C178&lt;&gt;""),1,0)</f>
        <v>0</v>
      </c>
      <c r="C173" s="146">
        <f>'Jrnl Rev'!$C178</f>
        <v>0</v>
      </c>
      <c r="D173" s="147">
        <f>'Jrnl Rev'!$D178</f>
        <v>0</v>
      </c>
      <c r="E173" s="1519">
        <f>'Jrnl Rev'!$F178</f>
        <v>0</v>
      </c>
      <c r="F173" s="1519"/>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2">
      <c r="B174" s="146">
        <f>IF(AND('Jrnl Rev'!G179&lt;&gt;"",'Jrnl Rev'!C179&lt;&gt;""),1,0)</f>
        <v>0</v>
      </c>
      <c r="C174" s="146">
        <f>'Jrnl Rev'!$C179</f>
        <v>0</v>
      </c>
      <c r="D174" s="147">
        <f>'Jrnl Rev'!$D179</f>
        <v>0</v>
      </c>
      <c r="E174" s="1519">
        <f>'Jrnl Rev'!$F179</f>
        <v>0</v>
      </c>
      <c r="F174" s="1519"/>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2">
      <c r="B175" s="146">
        <f>IF(AND('Jrnl Rev'!G180&lt;&gt;"",'Jrnl Rev'!C180&lt;&gt;""),1,0)</f>
        <v>0</v>
      </c>
      <c r="C175" s="146">
        <f>'Jrnl Rev'!$C180</f>
        <v>0</v>
      </c>
      <c r="D175" s="147">
        <f>'Jrnl Rev'!$D180</f>
        <v>0</v>
      </c>
      <c r="E175" s="1519">
        <f>'Jrnl Rev'!$F180</f>
        <v>0</v>
      </c>
      <c r="F175" s="1519"/>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2">
      <c r="B176" s="146">
        <f>IF(AND('Jrnl Rev'!G181&lt;&gt;"",'Jrnl Rev'!C181&lt;&gt;""),1,0)</f>
        <v>0</v>
      </c>
      <c r="C176" s="146">
        <f>'Jrnl Rev'!$C181</f>
        <v>0</v>
      </c>
      <c r="D176" s="147">
        <f>'Jrnl Rev'!$D181</f>
        <v>0</v>
      </c>
      <c r="E176" s="1519">
        <f>'Jrnl Rev'!$F181</f>
        <v>0</v>
      </c>
      <c r="F176" s="1519"/>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2">
      <c r="B177" s="146">
        <f>IF(AND('Jrnl Rev'!G182&lt;&gt;"",'Jrnl Rev'!C182&lt;&gt;""),1,0)</f>
        <v>0</v>
      </c>
      <c r="C177" s="146">
        <f>'Jrnl Rev'!$C182</f>
        <v>0</v>
      </c>
      <c r="D177" s="147">
        <f>'Jrnl Rev'!$D182</f>
        <v>0</v>
      </c>
      <c r="E177" s="1519">
        <f>'Jrnl Rev'!$F182</f>
        <v>0</v>
      </c>
      <c r="F177" s="1519"/>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2">
      <c r="B178" s="146">
        <f>IF(AND('Jrnl Rev'!G183&lt;&gt;"",'Jrnl Rev'!C183&lt;&gt;""),1,0)</f>
        <v>0</v>
      </c>
      <c r="C178" s="146">
        <f>'Jrnl Rev'!$C183</f>
        <v>0</v>
      </c>
      <c r="D178" s="147">
        <f>'Jrnl Rev'!$D183</f>
        <v>0</v>
      </c>
      <c r="E178" s="1519">
        <f>'Jrnl Rev'!$F183</f>
        <v>0</v>
      </c>
      <c r="F178" s="1519"/>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2">
      <c r="B179" s="146">
        <f>IF(AND('Jrnl Rev'!G184&lt;&gt;"",'Jrnl Rev'!C184&lt;&gt;""),1,0)</f>
        <v>0</v>
      </c>
      <c r="C179" s="146">
        <f>'Jrnl Rev'!$C184</f>
        <v>0</v>
      </c>
      <c r="D179" s="147">
        <f>'Jrnl Rev'!$D184</f>
        <v>0</v>
      </c>
      <c r="E179" s="1519">
        <f>'Jrnl Rev'!$F184</f>
        <v>0</v>
      </c>
      <c r="F179" s="1519"/>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2">
      <c r="B180" s="146">
        <f>IF(AND('Jrnl Rev'!G185&lt;&gt;"",'Jrnl Rev'!C185&lt;&gt;""),1,0)</f>
        <v>0</v>
      </c>
      <c r="C180" s="146">
        <f>'Jrnl Rev'!$C185</f>
        <v>0</v>
      </c>
      <c r="D180" s="147">
        <f>'Jrnl Rev'!$D185</f>
        <v>0</v>
      </c>
      <c r="E180" s="1519">
        <f>'Jrnl Rev'!$F185</f>
        <v>0</v>
      </c>
      <c r="F180" s="1519"/>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2">
      <c r="B181" s="146">
        <f>IF(AND('Jrnl Rev'!G186&lt;&gt;"",'Jrnl Rev'!C186&lt;&gt;""),1,0)</f>
        <v>0</v>
      </c>
      <c r="C181" s="146">
        <f>'Jrnl Rev'!$C186</f>
        <v>0</v>
      </c>
      <c r="D181" s="147">
        <f>'Jrnl Rev'!$D186</f>
        <v>0</v>
      </c>
      <c r="E181" s="1519">
        <f>'Jrnl Rev'!$F186</f>
        <v>0</v>
      </c>
      <c r="F181" s="1519"/>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2">
      <c r="B182" s="146">
        <f>IF(AND('Jrnl Rev'!G187&lt;&gt;"",'Jrnl Rev'!C187&lt;&gt;""),1,0)</f>
        <v>0</v>
      </c>
      <c r="C182" s="146">
        <f>'Jrnl Rev'!$C187</f>
        <v>0</v>
      </c>
      <c r="D182" s="147">
        <f>'Jrnl Rev'!$D187</f>
        <v>0</v>
      </c>
      <c r="E182" s="1519">
        <f>'Jrnl Rev'!$F187</f>
        <v>0</v>
      </c>
      <c r="F182" s="1519"/>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2">
      <c r="B183" s="146">
        <f>IF(AND('Jrnl Rev'!G188&lt;&gt;"",'Jrnl Rev'!C188&lt;&gt;""),1,0)</f>
        <v>0</v>
      </c>
      <c r="C183" s="146">
        <f>'Jrnl Rev'!$C188</f>
        <v>0</v>
      </c>
      <c r="D183" s="147">
        <f>'Jrnl Rev'!$D188</f>
        <v>0</v>
      </c>
      <c r="E183" s="1519">
        <f>'Jrnl Rev'!$F188</f>
        <v>0</v>
      </c>
      <c r="F183" s="1519"/>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2">
      <c r="B184" s="146">
        <f>IF(AND('Jrnl Rev'!G189&lt;&gt;"",'Jrnl Rev'!C189&lt;&gt;""),1,0)</f>
        <v>0</v>
      </c>
      <c r="C184" s="146">
        <f>'Jrnl Rev'!$C189</f>
        <v>0</v>
      </c>
      <c r="D184" s="147">
        <f>'Jrnl Rev'!$D189</f>
        <v>0</v>
      </c>
      <c r="E184" s="1519">
        <f>'Jrnl Rev'!$F189</f>
        <v>0</v>
      </c>
      <c r="F184" s="1519"/>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2">
      <c r="B185" s="146">
        <f>IF(AND('Jrnl Rev'!G190&lt;&gt;"",'Jrnl Rev'!C190&lt;&gt;""),1,0)</f>
        <v>0</v>
      </c>
      <c r="C185" s="146">
        <f>'Jrnl Rev'!$C190</f>
        <v>0</v>
      </c>
      <c r="D185" s="147">
        <f>'Jrnl Rev'!$D190</f>
        <v>0</v>
      </c>
      <c r="E185" s="1519">
        <f>'Jrnl Rev'!$F190</f>
        <v>0</v>
      </c>
      <c r="F185" s="1519"/>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2">
      <c r="B186" s="146">
        <f>IF(AND('Jrnl Rev'!G191&lt;&gt;"",'Jrnl Rev'!C191&lt;&gt;""),1,0)</f>
        <v>0</v>
      </c>
      <c r="C186" s="146">
        <f>'Jrnl Rev'!$C191</f>
        <v>0</v>
      </c>
      <c r="D186" s="147">
        <f>'Jrnl Rev'!$D191</f>
        <v>0</v>
      </c>
      <c r="E186" s="1519">
        <f>'Jrnl Rev'!$F191</f>
        <v>0</v>
      </c>
      <c r="F186" s="1519"/>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2">
      <c r="B187" s="146">
        <f>IF(AND('Jrnl Rev'!G192&lt;&gt;"",'Jrnl Rev'!C192&lt;&gt;""),1,0)</f>
        <v>0</v>
      </c>
      <c r="C187" s="146">
        <f>'Jrnl Rev'!$C192</f>
        <v>0</v>
      </c>
      <c r="D187" s="147">
        <f>'Jrnl Rev'!$D192</f>
        <v>0</v>
      </c>
      <c r="E187" s="1519">
        <f>'Jrnl Rev'!$F192</f>
        <v>0</v>
      </c>
      <c r="F187" s="1519"/>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2">
      <c r="B188" s="146">
        <f>IF(AND('Jrnl Rev'!G193&lt;&gt;"",'Jrnl Rev'!C193&lt;&gt;""),1,0)</f>
        <v>0</v>
      </c>
      <c r="C188" s="146">
        <f>'Jrnl Rev'!$C193</f>
        <v>0</v>
      </c>
      <c r="D188" s="147">
        <f>'Jrnl Rev'!$D193</f>
        <v>0</v>
      </c>
      <c r="E188" s="1519">
        <f>'Jrnl Rev'!$F193</f>
        <v>0</v>
      </c>
      <c r="F188" s="1519"/>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2">
      <c r="B189" s="146">
        <f>IF(AND('Jrnl Rev'!G194&lt;&gt;"",'Jrnl Rev'!C194&lt;&gt;""),1,0)</f>
        <v>0</v>
      </c>
      <c r="C189" s="146">
        <f>'Jrnl Rev'!$C194</f>
        <v>0</v>
      </c>
      <c r="D189" s="147">
        <f>'Jrnl Rev'!$D194</f>
        <v>0</v>
      </c>
      <c r="E189" s="1519">
        <f>'Jrnl Rev'!$F194</f>
        <v>0</v>
      </c>
      <c r="F189" s="1519"/>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2">
      <c r="B190" s="146">
        <f>IF(AND('Jrnl Rev'!G195&lt;&gt;"",'Jrnl Rev'!C195&lt;&gt;""),1,0)</f>
        <v>0</v>
      </c>
      <c r="C190" s="146">
        <f>'Jrnl Rev'!$C195</f>
        <v>0</v>
      </c>
      <c r="D190" s="147">
        <f>'Jrnl Rev'!$D195</f>
        <v>0</v>
      </c>
      <c r="E190" s="1519">
        <f>'Jrnl Rev'!$F195</f>
        <v>0</v>
      </c>
      <c r="F190" s="1519"/>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2">
      <c r="B191" s="146">
        <f>IF(AND('Jrnl Rev'!G196&lt;&gt;"",'Jrnl Rev'!C196&lt;&gt;""),1,0)</f>
        <v>0</v>
      </c>
      <c r="C191" s="146">
        <f>'Jrnl Rev'!$C196</f>
        <v>0</v>
      </c>
      <c r="D191" s="147">
        <f>'Jrnl Rev'!$D196</f>
        <v>0</v>
      </c>
      <c r="E191" s="1519">
        <f>'Jrnl Rev'!$F196</f>
        <v>0</v>
      </c>
      <c r="F191" s="1519"/>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2">
      <c r="B192" s="146">
        <f>IF(AND('Jrnl Rev'!G197&lt;&gt;"",'Jrnl Rev'!C197&lt;&gt;""),1,0)</f>
        <v>0</v>
      </c>
      <c r="C192" s="146">
        <f>'Jrnl Rev'!$C197</f>
        <v>0</v>
      </c>
      <c r="D192" s="147">
        <f>'Jrnl Rev'!$D197</f>
        <v>0</v>
      </c>
      <c r="E192" s="1519">
        <f>'Jrnl Rev'!$F197</f>
        <v>0</v>
      </c>
      <c r="F192" s="1519"/>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2">
      <c r="B193" s="146">
        <f>IF(AND('Jrnl Rev'!G198&lt;&gt;"",'Jrnl Rev'!C198&lt;&gt;""),1,0)</f>
        <v>0</v>
      </c>
      <c r="C193" s="146">
        <f>'Jrnl Rev'!$C198</f>
        <v>0</v>
      </c>
      <c r="D193" s="147">
        <f>'Jrnl Rev'!$D198</f>
        <v>0</v>
      </c>
      <c r="E193" s="1519">
        <f>'Jrnl Rev'!$F198</f>
        <v>0</v>
      </c>
      <c r="F193" s="1519"/>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2">
      <c r="B194" s="146">
        <f>IF(AND('Jrnl Rev'!G199&lt;&gt;"",'Jrnl Rev'!C199&lt;&gt;""),1,0)</f>
        <v>0</v>
      </c>
      <c r="C194" s="146">
        <f>'Jrnl Rev'!$C199</f>
        <v>0</v>
      </c>
      <c r="D194" s="147">
        <f>'Jrnl Rev'!$D199</f>
        <v>0</v>
      </c>
      <c r="E194" s="1519">
        <f>'Jrnl Rev'!$F199</f>
        <v>0</v>
      </c>
      <c r="F194" s="1519"/>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2">
      <c r="B195" s="146">
        <f>IF(AND('Jrnl Rev'!G200&lt;&gt;"",'Jrnl Rev'!C200&lt;&gt;""),1,0)</f>
        <v>0</v>
      </c>
      <c r="C195" s="146">
        <f>'Jrnl Rev'!$C200</f>
        <v>0</v>
      </c>
      <c r="D195" s="147">
        <f>'Jrnl Rev'!$D200</f>
        <v>0</v>
      </c>
      <c r="E195" s="1519">
        <f>'Jrnl Rev'!$F200</f>
        <v>0</v>
      </c>
      <c r="F195" s="1519"/>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2">
      <c r="B196" s="146">
        <f>IF(AND('Jrnl Rev'!G201&lt;&gt;"",'Jrnl Rev'!C201&lt;&gt;""),1,0)</f>
        <v>0</v>
      </c>
      <c r="C196" s="146">
        <f>'Jrnl Rev'!$C201</f>
        <v>0</v>
      </c>
      <c r="D196" s="147">
        <f>'Jrnl Rev'!$D201</f>
        <v>0</v>
      </c>
      <c r="E196" s="1519">
        <f>'Jrnl Rev'!$F201</f>
        <v>0</v>
      </c>
      <c r="F196" s="1519"/>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2">
      <c r="B197" s="146">
        <f>IF(AND('Jrnl Rev'!G202&lt;&gt;"",'Jrnl Rev'!C202&lt;&gt;""),1,0)</f>
        <v>0</v>
      </c>
      <c r="C197" s="146">
        <f>'Jrnl Rev'!$C202</f>
        <v>0</v>
      </c>
      <c r="D197" s="147">
        <f>'Jrnl Rev'!$D202</f>
        <v>0</v>
      </c>
      <c r="E197" s="1519">
        <f>'Jrnl Rev'!$F202</f>
        <v>0</v>
      </c>
      <c r="F197" s="1519"/>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2">
      <c r="B198" s="146">
        <f>IF(AND('Jrnl Rev'!G203&lt;&gt;"",'Jrnl Rev'!C203&lt;&gt;""),1,0)</f>
        <v>0</v>
      </c>
      <c r="C198" s="146">
        <f>'Jrnl Rev'!$C203</f>
        <v>0</v>
      </c>
      <c r="D198" s="147">
        <f>'Jrnl Rev'!$D203</f>
        <v>0</v>
      </c>
      <c r="E198" s="1519">
        <f>'Jrnl Rev'!$F203</f>
        <v>0</v>
      </c>
      <c r="F198" s="1519"/>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2">
      <c r="B199" s="146">
        <f>IF(AND('Jrnl Rev'!G204&lt;&gt;"",'Jrnl Rev'!C204&lt;&gt;""),1,0)</f>
        <v>0</v>
      </c>
      <c r="C199" s="146">
        <f>'Jrnl Rev'!$C204</f>
        <v>0</v>
      </c>
      <c r="D199" s="147">
        <f>'Jrnl Rev'!$D204</f>
        <v>0</v>
      </c>
      <c r="E199" s="1519">
        <f>'Jrnl Rev'!$F204</f>
        <v>0</v>
      </c>
      <c r="F199" s="1519"/>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2">
      <c r="B200" s="146">
        <f>IF(AND('Jrnl Rev'!G205&lt;&gt;"",'Jrnl Rev'!C205&lt;&gt;""),1,0)</f>
        <v>0</v>
      </c>
      <c r="C200" s="146">
        <f>'Jrnl Rev'!$C205</f>
        <v>0</v>
      </c>
      <c r="D200" s="147">
        <f>'Jrnl Rev'!$D205</f>
        <v>0</v>
      </c>
      <c r="E200" s="1519">
        <f>'Jrnl Rev'!$F205</f>
        <v>0</v>
      </c>
      <c r="F200" s="1519"/>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2">
      <c r="B201" s="146">
        <f>IF(AND('Jrnl Rev'!G206&lt;&gt;"",'Jrnl Rev'!C206&lt;&gt;""),1,0)</f>
        <v>0</v>
      </c>
      <c r="C201" s="146">
        <f>'Jrnl Rev'!$C206</f>
        <v>0</v>
      </c>
      <c r="D201" s="147">
        <f>'Jrnl Rev'!$D206</f>
        <v>0</v>
      </c>
      <c r="E201" s="1519">
        <f>'Jrnl Rev'!$F206</f>
        <v>0</v>
      </c>
      <c r="F201" s="1519"/>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2">
      <c r="B202" s="146">
        <f>IF(AND('Jrnl Rev'!G207&lt;&gt;"",'Jrnl Rev'!C207&lt;&gt;""),1,0)</f>
        <v>0</v>
      </c>
      <c r="C202" s="146">
        <f>'Jrnl Rev'!$C207</f>
        <v>0</v>
      </c>
      <c r="D202" s="147">
        <f>'Jrnl Rev'!$D207</f>
        <v>0</v>
      </c>
      <c r="E202" s="1519">
        <f>'Jrnl Rev'!$F207</f>
        <v>0</v>
      </c>
      <c r="F202" s="1519"/>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2">
      <c r="B203" s="146">
        <f>IF(AND('Jrnl Rev'!G208&lt;&gt;"",'Jrnl Rev'!C208&lt;&gt;""),1,0)</f>
        <v>0</v>
      </c>
      <c r="C203" s="146">
        <f>'Jrnl Rev'!$C208</f>
        <v>0</v>
      </c>
      <c r="D203" s="147">
        <f>'Jrnl Rev'!$D208</f>
        <v>0</v>
      </c>
      <c r="E203" s="1519">
        <f>'Jrnl Rev'!$F208</f>
        <v>0</v>
      </c>
      <c r="F203" s="1519"/>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2">
      <c r="B204" s="146">
        <f>IF(AND('Jrnl Rev'!G209&lt;&gt;"",'Jrnl Rev'!C209&lt;&gt;""),1,0)</f>
        <v>0</v>
      </c>
      <c r="C204" s="146">
        <f>'Jrnl Rev'!$C209</f>
        <v>0</v>
      </c>
      <c r="D204" s="147">
        <f>'Jrnl Rev'!$D209</f>
        <v>0</v>
      </c>
      <c r="E204" s="1519">
        <f>'Jrnl Rev'!$F209</f>
        <v>0</v>
      </c>
      <c r="F204" s="1519"/>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2">
      <c r="B205" s="146">
        <f>IF(AND('Jrnl Rev'!G210&lt;&gt;"",'Jrnl Rev'!C210&lt;&gt;""),1,0)</f>
        <v>0</v>
      </c>
      <c r="C205" s="146">
        <f>'Jrnl Rev'!$C210</f>
        <v>0</v>
      </c>
      <c r="D205" s="147">
        <f>'Jrnl Rev'!$D210</f>
        <v>0</v>
      </c>
      <c r="E205" s="1519">
        <f>'Jrnl Rev'!$F210</f>
        <v>0</v>
      </c>
      <c r="F205" s="1519"/>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2">
      <c r="B206" s="146">
        <f>IF(AND('Jrnl Rev'!G211&lt;&gt;"",'Jrnl Rev'!C211&lt;&gt;""),1,0)</f>
        <v>0</v>
      </c>
      <c r="C206" s="146">
        <f>'Jrnl Rev'!$C211</f>
        <v>0</v>
      </c>
      <c r="D206" s="147">
        <f>'Jrnl Rev'!$D211</f>
        <v>0</v>
      </c>
      <c r="E206" s="1519">
        <f>'Jrnl Rev'!$F211</f>
        <v>0</v>
      </c>
      <c r="F206" s="1519"/>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2">
      <c r="B207" s="146">
        <f>IF(AND('Jrnl Rev'!G212&lt;&gt;"",'Jrnl Rev'!C212&lt;&gt;""),1,0)</f>
        <v>0</v>
      </c>
      <c r="C207" s="146">
        <f>'Jrnl Rev'!$C212</f>
        <v>0</v>
      </c>
      <c r="D207" s="147">
        <f>'Jrnl Rev'!$D212</f>
        <v>0</v>
      </c>
      <c r="E207" s="1519">
        <f>'Jrnl Rev'!$F212</f>
        <v>0</v>
      </c>
      <c r="F207" s="1519"/>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2">
      <c r="B208" s="146">
        <f>IF(AND('Jrnl Rev'!G213&lt;&gt;"",'Jrnl Rev'!C213&lt;&gt;""),1,0)</f>
        <v>0</v>
      </c>
      <c r="C208" s="146">
        <f>'Jrnl Rev'!$C213</f>
        <v>0</v>
      </c>
      <c r="D208" s="147">
        <f>'Jrnl Rev'!$D213</f>
        <v>0</v>
      </c>
      <c r="E208" s="1519">
        <f>'Jrnl Rev'!$F213</f>
        <v>0</v>
      </c>
      <c r="F208" s="1519"/>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2">
      <c r="B209" s="146">
        <f>IF(AND('Jrnl Rev'!G214&lt;&gt;"",'Jrnl Rev'!C214&lt;&gt;""),1,0)</f>
        <v>0</v>
      </c>
      <c r="C209" s="146">
        <f>'Jrnl Rev'!$C214</f>
        <v>0</v>
      </c>
      <c r="D209" s="147">
        <f>'Jrnl Rev'!$D214</f>
        <v>0</v>
      </c>
      <c r="E209" s="1519">
        <f>'Jrnl Rev'!$F214</f>
        <v>0</v>
      </c>
      <c r="F209" s="1519"/>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2">
      <c r="B210" s="146">
        <f>IF(AND('Jrnl Rev'!G215&lt;&gt;"",'Jrnl Rev'!C215&lt;&gt;""),1,0)</f>
        <v>0</v>
      </c>
      <c r="C210" s="146">
        <f>'Jrnl Rev'!$C215</f>
        <v>0</v>
      </c>
      <c r="D210" s="147">
        <f>'Jrnl Rev'!$D215</f>
        <v>0</v>
      </c>
      <c r="E210" s="1519">
        <f>'Jrnl Rev'!$F215</f>
        <v>0</v>
      </c>
      <c r="F210" s="1519"/>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2">
      <c r="B211" s="146">
        <f>IF(AND('Jrnl Rev'!G216&lt;&gt;"",'Jrnl Rev'!C216&lt;&gt;""),1,0)</f>
        <v>0</v>
      </c>
      <c r="C211" s="146">
        <f>'Jrnl Rev'!$C216</f>
        <v>0</v>
      </c>
      <c r="D211" s="147">
        <f>'Jrnl Rev'!$D216</f>
        <v>0</v>
      </c>
      <c r="E211" s="1519">
        <f>'Jrnl Rev'!$F216</f>
        <v>0</v>
      </c>
      <c r="F211" s="1519"/>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2">
      <c r="B212" s="146">
        <f>IF(AND('Jrnl Rev'!G217&lt;&gt;"",'Jrnl Rev'!C217&lt;&gt;""),1,0)</f>
        <v>0</v>
      </c>
      <c r="C212" s="146">
        <f>'Jrnl Rev'!$C217</f>
        <v>0</v>
      </c>
      <c r="D212" s="147">
        <f>'Jrnl Rev'!$D217</f>
        <v>0</v>
      </c>
      <c r="E212" s="1519">
        <f>'Jrnl Rev'!$F217</f>
        <v>0</v>
      </c>
      <c r="F212" s="1519"/>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2">
      <c r="B213" s="146">
        <f>IF(AND('Jrnl Rev'!G218&lt;&gt;"",'Jrnl Rev'!C218&lt;&gt;""),1,0)</f>
        <v>0</v>
      </c>
      <c r="C213" s="146">
        <f>'Jrnl Rev'!$C218</f>
        <v>0</v>
      </c>
      <c r="D213" s="147">
        <f>'Jrnl Rev'!$D218</f>
        <v>0</v>
      </c>
      <c r="E213" s="1519">
        <f>'Jrnl Rev'!$F218</f>
        <v>0</v>
      </c>
      <c r="F213" s="1519"/>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2">
      <c r="B214" s="146">
        <f>IF(AND('Jrnl Rev'!G219&lt;&gt;"",'Jrnl Rev'!C219&lt;&gt;""),1,0)</f>
        <v>0</v>
      </c>
      <c r="C214" s="146">
        <f>'Jrnl Rev'!$C219</f>
        <v>0</v>
      </c>
      <c r="D214" s="147">
        <f>'Jrnl Rev'!$D219</f>
        <v>0</v>
      </c>
      <c r="E214" s="1519">
        <f>'Jrnl Rev'!$F219</f>
        <v>0</v>
      </c>
      <c r="F214" s="1519"/>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2">
      <c r="B215" s="146">
        <f>IF(AND('Jrnl Rev'!G220&lt;&gt;"",'Jrnl Rev'!C220&lt;&gt;""),1,0)</f>
        <v>0</v>
      </c>
      <c r="C215" s="146">
        <f>'Jrnl Rev'!$C220</f>
        <v>0</v>
      </c>
      <c r="D215" s="147">
        <f>'Jrnl Rev'!$D220</f>
        <v>0</v>
      </c>
      <c r="E215" s="1519">
        <f>'Jrnl Rev'!$F220</f>
        <v>0</v>
      </c>
      <c r="F215" s="1519"/>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2">
      <c r="B216" s="146">
        <f>IF(AND('Jrnl Rev'!G221&lt;&gt;"",'Jrnl Rev'!C221&lt;&gt;""),1,0)</f>
        <v>0</v>
      </c>
      <c r="C216" s="146">
        <f>'Jrnl Rev'!$C221</f>
        <v>0</v>
      </c>
      <c r="D216" s="147">
        <f>'Jrnl Rev'!$D221</f>
        <v>0</v>
      </c>
      <c r="E216" s="1519">
        <f>'Jrnl Rev'!$F221</f>
        <v>0</v>
      </c>
      <c r="F216" s="1519"/>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2">
      <c r="B217" s="146">
        <f>IF(AND('Jrnl Rev'!G222&lt;&gt;"",'Jrnl Rev'!C222&lt;&gt;""),1,0)</f>
        <v>0</v>
      </c>
      <c r="C217" s="146">
        <f>'Jrnl Rev'!$C222</f>
        <v>0</v>
      </c>
      <c r="D217" s="147">
        <f>'Jrnl Rev'!$D222</f>
        <v>0</v>
      </c>
      <c r="E217" s="1519">
        <f>'Jrnl Rev'!$F222</f>
        <v>0</v>
      </c>
      <c r="F217" s="1519"/>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2">
      <c r="B218" s="146">
        <f>IF(AND('Jrnl Rev'!G223&lt;&gt;"",'Jrnl Rev'!C223&lt;&gt;""),1,0)</f>
        <v>0</v>
      </c>
      <c r="C218" s="146">
        <f>'Jrnl Rev'!$C223</f>
        <v>0</v>
      </c>
      <c r="D218" s="147">
        <f>'Jrnl Rev'!$D223</f>
        <v>0</v>
      </c>
      <c r="E218" s="1519">
        <f>'Jrnl Rev'!$F223</f>
        <v>0</v>
      </c>
      <c r="F218" s="1519"/>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2">
      <c r="B219" s="146">
        <f>IF(AND('Jrnl Rev'!G224&lt;&gt;"",'Jrnl Rev'!C224&lt;&gt;""),1,0)</f>
        <v>0</v>
      </c>
      <c r="C219" s="146">
        <f>'Jrnl Rev'!$C224</f>
        <v>0</v>
      </c>
      <c r="D219" s="147">
        <f>'Jrnl Rev'!$D224</f>
        <v>0</v>
      </c>
      <c r="E219" s="1519">
        <f>'Jrnl Rev'!$F224</f>
        <v>0</v>
      </c>
      <c r="F219" s="1519"/>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2">
      <c r="B220" s="146">
        <f>IF(AND('Jrnl Rev'!G225&lt;&gt;"",'Jrnl Rev'!C225&lt;&gt;""),1,0)</f>
        <v>0</v>
      </c>
      <c r="C220" s="146">
        <f>'Jrnl Rev'!$C225</f>
        <v>0</v>
      </c>
      <c r="D220" s="147">
        <f>'Jrnl Rev'!$D225</f>
        <v>0</v>
      </c>
      <c r="E220" s="1519">
        <f>'Jrnl Rev'!$F225</f>
        <v>0</v>
      </c>
      <c r="F220" s="1519"/>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2">
      <c r="B221" s="146">
        <f>IF(AND('Jrnl Rev'!G226&lt;&gt;"",'Jrnl Rev'!C226&lt;&gt;""),1,0)</f>
        <v>0</v>
      </c>
      <c r="C221" s="146">
        <f>'Jrnl Rev'!$C226</f>
        <v>0</v>
      </c>
      <c r="D221" s="147">
        <f>'Jrnl Rev'!$D226</f>
        <v>0</v>
      </c>
      <c r="E221" s="1519">
        <f>'Jrnl Rev'!$F226</f>
        <v>0</v>
      </c>
      <c r="F221" s="1519"/>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2">
      <c r="B222" s="146">
        <f>IF(AND('Jrnl Rev'!G227&lt;&gt;"",'Jrnl Rev'!C227&lt;&gt;""),1,0)</f>
        <v>0</v>
      </c>
      <c r="C222" s="146">
        <f>'Jrnl Rev'!$C227</f>
        <v>0</v>
      </c>
      <c r="D222" s="147">
        <f>'Jrnl Rev'!$D227</f>
        <v>0</v>
      </c>
      <c r="E222" s="1519">
        <f>'Jrnl Rev'!$F227</f>
        <v>0</v>
      </c>
      <c r="F222" s="1519"/>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2">
      <c r="B223" s="146">
        <f>IF(AND('Jrnl Rev'!G228&lt;&gt;"",'Jrnl Rev'!C228&lt;&gt;""),1,0)</f>
        <v>0</v>
      </c>
      <c r="C223" s="146">
        <f>'Jrnl Rev'!$C228</f>
        <v>0</v>
      </c>
      <c r="D223" s="147">
        <f>'Jrnl Rev'!$D228</f>
        <v>0</v>
      </c>
      <c r="E223" s="1519">
        <f>'Jrnl Rev'!$F228</f>
        <v>0</v>
      </c>
      <c r="F223" s="1519"/>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2">
      <c r="B224" s="146">
        <f>IF(AND('Jrnl Rev'!G229&lt;&gt;"",'Jrnl Rev'!C229&lt;&gt;""),1,0)</f>
        <v>0</v>
      </c>
      <c r="C224" s="146">
        <f>'Jrnl Rev'!$C229</f>
        <v>0</v>
      </c>
      <c r="D224" s="147">
        <f>'Jrnl Rev'!$D229</f>
        <v>0</v>
      </c>
      <c r="E224" s="1519">
        <f>'Jrnl Rev'!$F229</f>
        <v>0</v>
      </c>
      <c r="F224" s="1519"/>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2">
      <c r="B225" s="146">
        <f>IF(AND('Jrnl Rev'!G230&lt;&gt;"",'Jrnl Rev'!C230&lt;&gt;""),1,0)</f>
        <v>0</v>
      </c>
      <c r="C225" s="146">
        <f>'Jrnl Rev'!$C230</f>
        <v>0</v>
      </c>
      <c r="D225" s="147">
        <f>'Jrnl Rev'!$D230</f>
        <v>0</v>
      </c>
      <c r="E225" s="1519">
        <f>'Jrnl Rev'!$F230</f>
        <v>0</v>
      </c>
      <c r="F225" s="1519"/>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2">
      <c r="B226" s="146">
        <f>IF(AND('Jrnl Rev'!G231&lt;&gt;"",'Jrnl Rev'!C231&lt;&gt;""),1,0)</f>
        <v>0</v>
      </c>
      <c r="C226" s="146">
        <f>'Jrnl Rev'!$C231</f>
        <v>0</v>
      </c>
      <c r="D226" s="147">
        <f>'Jrnl Rev'!$D231</f>
        <v>0</v>
      </c>
      <c r="E226" s="1519">
        <f>'Jrnl Rev'!$F231</f>
        <v>0</v>
      </c>
      <c r="F226" s="1519"/>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2">
      <c r="B227" s="146">
        <f>IF(AND('Jrnl Rev'!G232&lt;&gt;"",'Jrnl Rev'!C232&lt;&gt;""),1,0)</f>
        <v>0</v>
      </c>
      <c r="C227" s="146">
        <f>'Jrnl Rev'!$C232</f>
        <v>0</v>
      </c>
      <c r="D227" s="147">
        <f>'Jrnl Rev'!$D232</f>
        <v>0</v>
      </c>
      <c r="E227" s="1519">
        <f>'Jrnl Rev'!$F232</f>
        <v>0</v>
      </c>
      <c r="F227" s="1519"/>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2">
      <c r="B228" s="146">
        <f>IF(AND('Jrnl Rev'!G233&lt;&gt;"",'Jrnl Rev'!C233&lt;&gt;""),1,0)</f>
        <v>0</v>
      </c>
      <c r="C228" s="146">
        <f>'Jrnl Rev'!$C233</f>
        <v>0</v>
      </c>
      <c r="D228" s="147">
        <f>'Jrnl Rev'!$D233</f>
        <v>0</v>
      </c>
      <c r="E228" s="1519">
        <f>'Jrnl Rev'!$F233</f>
        <v>0</v>
      </c>
      <c r="F228" s="1519"/>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2">
      <c r="B229" s="146">
        <f>IF(AND('Jrnl Rev'!G234&lt;&gt;"",'Jrnl Rev'!C234&lt;&gt;""),1,0)</f>
        <v>0</v>
      </c>
      <c r="C229" s="146">
        <f>'Jrnl Rev'!$C234</f>
        <v>0</v>
      </c>
      <c r="D229" s="147">
        <f>'Jrnl Rev'!$D234</f>
        <v>0</v>
      </c>
      <c r="E229" s="1519">
        <f>'Jrnl Rev'!$F234</f>
        <v>0</v>
      </c>
      <c r="F229" s="1519"/>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2">
      <c r="B230" s="146">
        <f>IF(AND('Jrnl Rev'!G235&lt;&gt;"",'Jrnl Rev'!C235&lt;&gt;""),1,0)</f>
        <v>0</v>
      </c>
      <c r="C230" s="146">
        <f>'Jrnl Rev'!$C235</f>
        <v>0</v>
      </c>
      <c r="D230" s="147">
        <f>'Jrnl Rev'!$D235</f>
        <v>0</v>
      </c>
      <c r="E230" s="1519">
        <f>'Jrnl Rev'!$F235</f>
        <v>0</v>
      </c>
      <c r="F230" s="1519"/>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2">
      <c r="B231" s="146">
        <f>IF(AND('Jrnl Rev'!G236&lt;&gt;"",'Jrnl Rev'!C236&lt;&gt;""),1,0)</f>
        <v>0</v>
      </c>
      <c r="C231" s="146">
        <f>'Jrnl Rev'!$C236</f>
        <v>0</v>
      </c>
      <c r="D231" s="147">
        <f>'Jrnl Rev'!$D236</f>
        <v>0</v>
      </c>
      <c r="E231" s="1519">
        <f>'Jrnl Rev'!$F236</f>
        <v>0</v>
      </c>
      <c r="F231" s="1519"/>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2">
      <c r="B232" s="146">
        <f>IF(AND('Jrnl Rev'!G237&lt;&gt;"",'Jrnl Rev'!C237&lt;&gt;""),1,0)</f>
        <v>0</v>
      </c>
      <c r="C232" s="146">
        <f>'Jrnl Rev'!$C237</f>
        <v>0</v>
      </c>
      <c r="D232" s="147">
        <f>'Jrnl Rev'!$D237</f>
        <v>0</v>
      </c>
      <c r="E232" s="1519">
        <f>'Jrnl Rev'!$F237</f>
        <v>0</v>
      </c>
      <c r="F232" s="1519"/>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2">
      <c r="B233" s="146">
        <f>IF(AND('Jrnl Rev'!G238&lt;&gt;"",'Jrnl Rev'!C238&lt;&gt;""),1,0)</f>
        <v>0</v>
      </c>
      <c r="C233" s="146">
        <f>'Jrnl Rev'!$C238</f>
        <v>0</v>
      </c>
      <c r="D233" s="147">
        <f>'Jrnl Rev'!$D238</f>
        <v>0</v>
      </c>
      <c r="E233" s="1519">
        <f>'Jrnl Rev'!$F238</f>
        <v>0</v>
      </c>
      <c r="F233" s="1519"/>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2">
      <c r="B234" s="146">
        <f>IF(AND('Jrnl Rev'!G239&lt;&gt;"",'Jrnl Rev'!C239&lt;&gt;""),1,0)</f>
        <v>0</v>
      </c>
      <c r="C234" s="146">
        <f>'Jrnl Rev'!$C239</f>
        <v>0</v>
      </c>
      <c r="D234" s="147">
        <f>'Jrnl Rev'!$D239</f>
        <v>0</v>
      </c>
      <c r="E234" s="1519">
        <f>'Jrnl Rev'!$F239</f>
        <v>0</v>
      </c>
      <c r="F234" s="1519"/>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2">
      <c r="B235" s="146">
        <f>IF(AND('Jrnl Rev'!G240&lt;&gt;"",'Jrnl Rev'!C240&lt;&gt;""),1,0)</f>
        <v>0</v>
      </c>
      <c r="C235" s="146">
        <f>'Jrnl Rev'!$C240</f>
        <v>0</v>
      </c>
      <c r="D235" s="147">
        <f>'Jrnl Rev'!$D240</f>
        <v>0</v>
      </c>
      <c r="E235" s="1519">
        <f>'Jrnl Rev'!$F240</f>
        <v>0</v>
      </c>
      <c r="F235" s="1519"/>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2">
      <c r="B236" s="146">
        <f>IF(AND('Jrnl Rev'!G241&lt;&gt;"",'Jrnl Rev'!C241&lt;&gt;""),1,0)</f>
        <v>0</v>
      </c>
      <c r="C236" s="146">
        <f>'Jrnl Rev'!$C241</f>
        <v>0</v>
      </c>
      <c r="D236" s="147">
        <f>'Jrnl Rev'!$D241</f>
        <v>0</v>
      </c>
      <c r="E236" s="1519">
        <f>'Jrnl Rev'!$F241</f>
        <v>0</v>
      </c>
      <c r="F236" s="1519"/>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2">
      <c r="B237" s="146">
        <f>IF(AND('Jrnl Rev'!G242&lt;&gt;"",'Jrnl Rev'!C242&lt;&gt;""),1,0)</f>
        <v>0</v>
      </c>
      <c r="C237" s="146">
        <f>'Jrnl Rev'!$C242</f>
        <v>0</v>
      </c>
      <c r="D237" s="147">
        <f>'Jrnl Rev'!$D242</f>
        <v>0</v>
      </c>
      <c r="E237" s="1519">
        <f>'Jrnl Rev'!$F242</f>
        <v>0</v>
      </c>
      <c r="F237" s="1519"/>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2">
      <c r="B238" s="146">
        <f>IF(AND('Jrnl Rev'!G243&lt;&gt;"",'Jrnl Rev'!C243&lt;&gt;""),1,0)</f>
        <v>0</v>
      </c>
      <c r="C238" s="146">
        <f>'Jrnl Rev'!$C243</f>
        <v>0</v>
      </c>
      <c r="D238" s="147">
        <f>'Jrnl Rev'!$D243</f>
        <v>0</v>
      </c>
      <c r="E238" s="1519">
        <f>'Jrnl Rev'!$F243</f>
        <v>0</v>
      </c>
      <c r="F238" s="1519"/>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2">
      <c r="B239" s="146">
        <f>IF(AND('Jrnl Rev'!G244&lt;&gt;"",'Jrnl Rev'!C244&lt;&gt;""),1,0)</f>
        <v>0</v>
      </c>
      <c r="C239" s="146">
        <f>'Jrnl Rev'!$C244</f>
        <v>0</v>
      </c>
      <c r="D239" s="147">
        <f>'Jrnl Rev'!$D244</f>
        <v>0</v>
      </c>
      <c r="E239" s="1519">
        <f>'Jrnl Rev'!$F244</f>
        <v>0</v>
      </c>
      <c r="F239" s="1519"/>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2">
      <c r="B240" s="146">
        <f>IF(AND('Jrnl Rev'!G245&lt;&gt;"",'Jrnl Rev'!C245&lt;&gt;""),1,0)</f>
        <v>0</v>
      </c>
      <c r="C240" s="146">
        <f>'Jrnl Rev'!$C245</f>
        <v>0</v>
      </c>
      <c r="D240" s="147">
        <f>'Jrnl Rev'!$D245</f>
        <v>0</v>
      </c>
      <c r="E240" s="1519">
        <f>'Jrnl Rev'!$F245</f>
        <v>0</v>
      </c>
      <c r="F240" s="1519"/>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2">
      <c r="B241" s="146">
        <f>IF(AND('Jrnl Rev'!G246&lt;&gt;"",'Jrnl Rev'!C246&lt;&gt;""),1,0)</f>
        <v>0</v>
      </c>
      <c r="C241" s="146">
        <f>'Jrnl Rev'!$C246</f>
        <v>0</v>
      </c>
      <c r="D241" s="147">
        <f>'Jrnl Rev'!$D246</f>
        <v>0</v>
      </c>
      <c r="E241" s="1519">
        <f>'Jrnl Rev'!$F246</f>
        <v>0</v>
      </c>
      <c r="F241" s="1519"/>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2">
      <c r="B242" s="146">
        <f>IF(AND('Jrnl Rev'!G247&lt;&gt;"",'Jrnl Rev'!C247&lt;&gt;""),1,0)</f>
        <v>0</v>
      </c>
      <c r="C242" s="146">
        <f>'Jrnl Rev'!$C247</f>
        <v>0</v>
      </c>
      <c r="D242" s="147">
        <f>'Jrnl Rev'!$D247</f>
        <v>0</v>
      </c>
      <c r="E242" s="1519">
        <f>'Jrnl Rev'!$F247</f>
        <v>0</v>
      </c>
      <c r="F242" s="1519"/>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2">
      <c r="B243" s="146">
        <f>IF(AND('Jrnl Rev'!G248&lt;&gt;"",'Jrnl Rev'!C248&lt;&gt;""),1,0)</f>
        <v>0</v>
      </c>
      <c r="C243" s="146">
        <f>'Jrnl Rev'!$C248</f>
        <v>0</v>
      </c>
      <c r="D243" s="147">
        <f>'Jrnl Rev'!$D248</f>
        <v>0</v>
      </c>
      <c r="E243" s="1519">
        <f>'Jrnl Rev'!$F248</f>
        <v>0</v>
      </c>
      <c r="F243" s="1519"/>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2">
      <c r="B244" s="146">
        <f>IF(AND('Jrnl Rev'!G249&lt;&gt;"",'Jrnl Rev'!C249&lt;&gt;""),1,0)</f>
        <v>0</v>
      </c>
      <c r="C244" s="146">
        <f>'Jrnl Rev'!$C249</f>
        <v>0</v>
      </c>
      <c r="D244" s="147">
        <f>'Jrnl Rev'!$D249</f>
        <v>0</v>
      </c>
      <c r="E244" s="1519">
        <f>'Jrnl Rev'!$F249</f>
        <v>0</v>
      </c>
      <c r="F244" s="1519"/>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2">
      <c r="B245" s="146">
        <f>IF(AND('Jrnl Rev'!G250&lt;&gt;"",'Jrnl Rev'!C250&lt;&gt;""),1,0)</f>
        <v>0</v>
      </c>
      <c r="C245" s="146">
        <f>'Jrnl Rev'!$C250</f>
        <v>0</v>
      </c>
      <c r="D245" s="147">
        <f>'Jrnl Rev'!$D250</f>
        <v>0</v>
      </c>
      <c r="E245" s="1519">
        <f>'Jrnl Rev'!$F250</f>
        <v>0</v>
      </c>
      <c r="F245" s="1519"/>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2">
      <c r="B246" s="146">
        <f>IF(AND('Jrnl Rev'!G251&lt;&gt;"",'Jrnl Rev'!C251&lt;&gt;""),1,0)</f>
        <v>0</v>
      </c>
      <c r="C246" s="146">
        <f>'Jrnl Rev'!$C251</f>
        <v>0</v>
      </c>
      <c r="D246" s="147">
        <f>'Jrnl Rev'!$D251</f>
        <v>0</v>
      </c>
      <c r="E246" s="1519">
        <f>'Jrnl Rev'!$F251</f>
        <v>0</v>
      </c>
      <c r="F246" s="1519"/>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2">
      <c r="B247" s="146">
        <f>IF(AND('Jrnl Rev'!G252&lt;&gt;"",'Jrnl Rev'!C252&lt;&gt;""),1,0)</f>
        <v>0</v>
      </c>
      <c r="C247" s="146">
        <f>'Jrnl Rev'!$C252</f>
        <v>0</v>
      </c>
      <c r="D247" s="147">
        <f>'Jrnl Rev'!$D252</f>
        <v>0</v>
      </c>
      <c r="E247" s="1519">
        <f>'Jrnl Rev'!$F252</f>
        <v>0</v>
      </c>
      <c r="F247" s="1519"/>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2">
      <c r="B248" s="146">
        <f>IF(AND('Jrnl Rev'!G253&lt;&gt;"",'Jrnl Rev'!C253&lt;&gt;""),1,0)</f>
        <v>0</v>
      </c>
      <c r="C248" s="146">
        <f>'Jrnl Rev'!$C253</f>
        <v>0</v>
      </c>
      <c r="D248" s="147">
        <f>'Jrnl Rev'!$D253</f>
        <v>0</v>
      </c>
      <c r="E248" s="1519">
        <f>'Jrnl Rev'!$F253</f>
        <v>0</v>
      </c>
      <c r="F248" s="1519"/>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2">
      <c r="B249" s="146">
        <f>IF(AND('Jrnl Rev'!G254&lt;&gt;"",'Jrnl Rev'!C254&lt;&gt;""),1,0)</f>
        <v>0</v>
      </c>
      <c r="C249" s="146">
        <f>'Jrnl Rev'!$C254</f>
        <v>0</v>
      </c>
      <c r="D249" s="147">
        <f>'Jrnl Rev'!$D254</f>
        <v>0</v>
      </c>
      <c r="E249" s="1519">
        <f>'Jrnl Rev'!$F254</f>
        <v>0</v>
      </c>
      <c r="F249" s="1519"/>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2">
      <c r="B250" s="146">
        <f>IF(AND('Jrnl Rev'!G255&lt;&gt;"",'Jrnl Rev'!C255&lt;&gt;""),1,0)</f>
        <v>0</v>
      </c>
      <c r="C250" s="146">
        <f>'Jrnl Rev'!$C255</f>
        <v>0</v>
      </c>
      <c r="D250" s="147">
        <f>'Jrnl Rev'!$D255</f>
        <v>0</v>
      </c>
      <c r="E250" s="1519">
        <f>'Jrnl Rev'!$F255</f>
        <v>0</v>
      </c>
      <c r="F250" s="1519"/>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2">
      <c r="B251" s="146">
        <f>IF(AND('Jrnl Rev'!G256&lt;&gt;"",'Jrnl Rev'!C256&lt;&gt;""),1,0)</f>
        <v>0</v>
      </c>
      <c r="C251" s="146">
        <f>'Jrnl Rev'!$C256</f>
        <v>0</v>
      </c>
      <c r="D251" s="147">
        <f>'Jrnl Rev'!$D256</f>
        <v>0</v>
      </c>
      <c r="E251" s="1519">
        <f>'Jrnl Rev'!$F256</f>
        <v>0</v>
      </c>
      <c r="F251" s="1519"/>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2">
      <c r="B252" s="146">
        <f>IF(AND('Jrnl Rev'!G257&lt;&gt;"",'Jrnl Rev'!C257&lt;&gt;""),1,0)</f>
        <v>0</v>
      </c>
      <c r="C252" s="146">
        <f>'Jrnl Rev'!$C257</f>
        <v>0</v>
      </c>
      <c r="D252" s="147">
        <f>'Jrnl Rev'!$D257</f>
        <v>0</v>
      </c>
      <c r="E252" s="1519">
        <f>'Jrnl Rev'!$F257</f>
        <v>0</v>
      </c>
      <c r="F252" s="1519"/>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2">
      <c r="B253" s="146">
        <f>IF(AND('Jrnl Rev'!G258&lt;&gt;"",'Jrnl Rev'!C258&lt;&gt;""),1,0)</f>
        <v>0</v>
      </c>
      <c r="C253" s="146">
        <f>'Jrnl Rev'!$C258</f>
        <v>0</v>
      </c>
      <c r="D253" s="147">
        <f>'Jrnl Rev'!$D258</f>
        <v>0</v>
      </c>
      <c r="E253" s="1519">
        <f>'Jrnl Rev'!$F258</f>
        <v>0</v>
      </c>
      <c r="F253" s="1519"/>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2">
      <c r="B254" s="146">
        <f>IF(AND('Jrnl Rev'!G259&lt;&gt;"",'Jrnl Rev'!C259&lt;&gt;""),1,0)</f>
        <v>0</v>
      </c>
      <c r="C254" s="146">
        <f>'Jrnl Rev'!$C259</f>
        <v>0</v>
      </c>
      <c r="D254" s="147">
        <f>'Jrnl Rev'!$D259</f>
        <v>0</v>
      </c>
      <c r="E254" s="1519">
        <f>'Jrnl Rev'!$F259</f>
        <v>0</v>
      </c>
      <c r="F254" s="1519"/>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2">
      <c r="B255" s="146">
        <f>IF(AND('Jrnl Rev'!G260&lt;&gt;"",'Jrnl Rev'!C260&lt;&gt;""),1,0)</f>
        <v>0</v>
      </c>
      <c r="C255" s="146">
        <f>'Jrnl Rev'!$C260</f>
        <v>0</v>
      </c>
      <c r="D255" s="147">
        <f>'Jrnl Rev'!$D260</f>
        <v>0</v>
      </c>
      <c r="E255" s="1519">
        <f>'Jrnl Rev'!$F260</f>
        <v>0</v>
      </c>
      <c r="F255" s="1519"/>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2">
      <c r="B256" s="146">
        <f>IF(AND('Jrnl Rev'!G261&lt;&gt;"",'Jrnl Rev'!C261&lt;&gt;""),1,0)</f>
        <v>0</v>
      </c>
      <c r="C256" s="146">
        <f>'Jrnl Rev'!$C261</f>
        <v>0</v>
      </c>
      <c r="D256" s="147">
        <f>'Jrnl Rev'!$D261</f>
        <v>0</v>
      </c>
      <c r="E256" s="1519">
        <f>'Jrnl Rev'!$F261</f>
        <v>0</v>
      </c>
      <c r="F256" s="1519"/>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2">
      <c r="B257" s="146">
        <f>IF(AND('Jrnl Rev'!G262&lt;&gt;"",'Jrnl Rev'!C262&lt;&gt;""),1,0)</f>
        <v>0</v>
      </c>
      <c r="C257" s="146">
        <f>'Jrnl Rev'!$C262</f>
        <v>0</v>
      </c>
      <c r="D257" s="147">
        <f>'Jrnl Rev'!$D262</f>
        <v>0</v>
      </c>
      <c r="E257" s="1519">
        <f>'Jrnl Rev'!$F262</f>
        <v>0</v>
      </c>
      <c r="F257" s="1519"/>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2">
      <c r="B258" s="146">
        <f>IF(AND('Jrnl Rev'!G263&lt;&gt;"",'Jrnl Rev'!C263&lt;&gt;""),1,0)</f>
        <v>0</v>
      </c>
      <c r="C258" s="146">
        <f>'Jrnl Rev'!$C263</f>
        <v>0</v>
      </c>
      <c r="D258" s="147">
        <f>'Jrnl Rev'!$D263</f>
        <v>0</v>
      </c>
      <c r="E258" s="1519">
        <f>'Jrnl Rev'!$F263</f>
        <v>0</v>
      </c>
      <c r="F258" s="1519"/>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2">
      <c r="B259" s="146">
        <f>IF(AND('Jrnl Rev'!G264&lt;&gt;"",'Jrnl Rev'!C264&lt;&gt;""),1,0)</f>
        <v>0</v>
      </c>
      <c r="C259" s="146">
        <f>'Jrnl Rev'!$C264</f>
        <v>0</v>
      </c>
      <c r="D259" s="147">
        <f>'Jrnl Rev'!$D264</f>
        <v>0</v>
      </c>
      <c r="E259" s="1519">
        <f>'Jrnl Rev'!$F264</f>
        <v>0</v>
      </c>
      <c r="F259" s="1519"/>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2">
      <c r="B260" s="146">
        <f>IF(AND('Jrnl Rev'!G265&lt;&gt;"",'Jrnl Rev'!C265&lt;&gt;""),1,0)</f>
        <v>0</v>
      </c>
      <c r="C260" s="146">
        <f>'Jrnl Rev'!$C265</f>
        <v>0</v>
      </c>
      <c r="D260" s="147">
        <f>'Jrnl Rev'!$D265</f>
        <v>0</v>
      </c>
      <c r="E260" s="1519">
        <f>'Jrnl Rev'!$F265</f>
        <v>0</v>
      </c>
      <c r="F260" s="1519"/>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2">
      <c r="B261" s="146">
        <f>IF(AND('Jrnl Rev'!G266&lt;&gt;"",'Jrnl Rev'!C266&lt;&gt;""),1,0)</f>
        <v>0</v>
      </c>
      <c r="C261" s="146">
        <f>'Jrnl Rev'!$C266</f>
        <v>0</v>
      </c>
      <c r="D261" s="147">
        <f>'Jrnl Rev'!$D266</f>
        <v>0</v>
      </c>
      <c r="E261" s="1519">
        <f>'Jrnl Rev'!$F266</f>
        <v>0</v>
      </c>
      <c r="F261" s="1519"/>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2">
      <c r="B262" s="146">
        <f>IF(AND('Jrnl Rev'!G267&lt;&gt;"",'Jrnl Rev'!C267&lt;&gt;""),1,0)</f>
        <v>0</v>
      </c>
      <c r="C262" s="146">
        <f>'Jrnl Rev'!$C267</f>
        <v>0</v>
      </c>
      <c r="D262" s="147">
        <f>'Jrnl Rev'!$D267</f>
        <v>0</v>
      </c>
      <c r="E262" s="1519">
        <f>'Jrnl Rev'!$F267</f>
        <v>0</v>
      </c>
      <c r="F262" s="1519"/>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2">
      <c r="B263" s="146">
        <f>IF(AND('Jrnl Rev'!G268&lt;&gt;"",'Jrnl Rev'!C268&lt;&gt;""),1,0)</f>
        <v>0</v>
      </c>
      <c r="C263" s="146">
        <f>'Jrnl Rev'!$C268</f>
        <v>0</v>
      </c>
      <c r="D263" s="147">
        <f>'Jrnl Rev'!$D268</f>
        <v>0</v>
      </c>
      <c r="E263" s="1519">
        <f>'Jrnl Rev'!$F268</f>
        <v>0</v>
      </c>
      <c r="F263" s="1519"/>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2">
      <c r="B264" s="146">
        <f>IF(AND('Jrnl Rev'!G269&lt;&gt;"",'Jrnl Rev'!C269&lt;&gt;""),1,0)</f>
        <v>0</v>
      </c>
      <c r="C264" s="146">
        <f>'Jrnl Rev'!$C269</f>
        <v>0</v>
      </c>
      <c r="D264" s="147">
        <f>'Jrnl Rev'!$D269</f>
        <v>0</v>
      </c>
      <c r="E264" s="1519">
        <f>'Jrnl Rev'!$F269</f>
        <v>0</v>
      </c>
      <c r="F264" s="1519"/>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2">
      <c r="B265" s="146">
        <f>IF(AND('Jrnl Rev'!G270&lt;&gt;"",'Jrnl Rev'!C270&lt;&gt;""),1,0)</f>
        <v>0</v>
      </c>
      <c r="C265" s="146">
        <f>'Jrnl Rev'!$C270</f>
        <v>0</v>
      </c>
      <c r="D265" s="147">
        <f>'Jrnl Rev'!$D270</f>
        <v>0</v>
      </c>
      <c r="E265" s="1519">
        <f>'Jrnl Rev'!$F270</f>
        <v>0</v>
      </c>
      <c r="F265" s="1519"/>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2">
      <c r="B266" s="146">
        <f>IF(AND('Jrnl Rev'!G271&lt;&gt;"",'Jrnl Rev'!C271&lt;&gt;""),1,0)</f>
        <v>0</v>
      </c>
      <c r="C266" s="146">
        <f>'Jrnl Rev'!$C271</f>
        <v>0</v>
      </c>
      <c r="D266" s="147">
        <f>'Jrnl Rev'!$D271</f>
        <v>0</v>
      </c>
      <c r="E266" s="1519">
        <f>'Jrnl Rev'!$F271</f>
        <v>0</v>
      </c>
      <c r="F266" s="1519"/>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2">
      <c r="B267" s="146">
        <f>IF(AND('Jrnl Rev'!G272&lt;&gt;"",'Jrnl Rev'!C272&lt;&gt;""),1,0)</f>
        <v>0</v>
      </c>
      <c r="C267" s="146">
        <f>'Jrnl Rev'!$C272</f>
        <v>0</v>
      </c>
      <c r="D267" s="147">
        <f>'Jrnl Rev'!$D272</f>
        <v>0</v>
      </c>
      <c r="E267" s="1519">
        <f>'Jrnl Rev'!$F272</f>
        <v>0</v>
      </c>
      <c r="F267" s="1519"/>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2">
      <c r="B268" s="146">
        <f>IF(AND('Jrnl Rev'!G273&lt;&gt;"",'Jrnl Rev'!C273&lt;&gt;""),1,0)</f>
        <v>0</v>
      </c>
      <c r="C268" s="146">
        <f>'Jrnl Rev'!$C273</f>
        <v>0</v>
      </c>
      <c r="D268" s="147">
        <f>'Jrnl Rev'!$D273</f>
        <v>0</v>
      </c>
      <c r="E268" s="1519">
        <f>'Jrnl Rev'!$F273</f>
        <v>0</v>
      </c>
      <c r="F268" s="1519"/>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2">
      <c r="B269" s="146">
        <f>IF(AND('Jrnl Rev'!G274&lt;&gt;"",'Jrnl Rev'!C274&lt;&gt;""),1,0)</f>
        <v>0</v>
      </c>
      <c r="C269" s="146">
        <f>'Jrnl Rev'!$C274</f>
        <v>0</v>
      </c>
      <c r="D269" s="147">
        <f>'Jrnl Rev'!$D274</f>
        <v>0</v>
      </c>
      <c r="E269" s="1519">
        <f>'Jrnl Rev'!$F274</f>
        <v>0</v>
      </c>
      <c r="F269" s="1519"/>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2">
      <c r="B270" s="146">
        <f>IF(AND('Jrnl Rev'!G275&lt;&gt;"",'Jrnl Rev'!C275&lt;&gt;""),1,0)</f>
        <v>0</v>
      </c>
      <c r="C270" s="146">
        <f>'Jrnl Rev'!$C275</f>
        <v>0</v>
      </c>
      <c r="D270" s="147">
        <f>'Jrnl Rev'!$D275</f>
        <v>0</v>
      </c>
      <c r="E270" s="1519">
        <f>'Jrnl Rev'!$F275</f>
        <v>0</v>
      </c>
      <c r="F270" s="1519"/>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2">
      <c r="B271" s="146">
        <f>IF(AND('Jrnl Rev'!G276&lt;&gt;"",'Jrnl Rev'!C276&lt;&gt;""),1,0)</f>
        <v>0</v>
      </c>
      <c r="C271" s="146">
        <f>'Jrnl Rev'!$C276</f>
        <v>0</v>
      </c>
      <c r="D271" s="147">
        <f>'Jrnl Rev'!$D276</f>
        <v>0</v>
      </c>
      <c r="E271" s="1519">
        <f>'Jrnl Rev'!$F276</f>
        <v>0</v>
      </c>
      <c r="F271" s="1519"/>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2">
      <c r="B272" s="146">
        <f>IF(AND('Jrnl Rev'!G277&lt;&gt;"",'Jrnl Rev'!C277&lt;&gt;""),1,0)</f>
        <v>0</v>
      </c>
      <c r="C272" s="146">
        <f>'Jrnl Rev'!$C277</f>
        <v>0</v>
      </c>
      <c r="D272" s="147">
        <f>'Jrnl Rev'!$D277</f>
        <v>0</v>
      </c>
      <c r="E272" s="1519">
        <f>'Jrnl Rev'!$F277</f>
        <v>0</v>
      </c>
      <c r="F272" s="1519"/>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2">
      <c r="B273" s="146">
        <f>IF(AND('Jrnl Rev'!G278&lt;&gt;"",'Jrnl Rev'!C278&lt;&gt;""),1,0)</f>
        <v>0</v>
      </c>
      <c r="C273" s="146">
        <f>'Jrnl Rev'!$C278</f>
        <v>0</v>
      </c>
      <c r="D273" s="147">
        <f>'Jrnl Rev'!$D278</f>
        <v>0</v>
      </c>
      <c r="E273" s="1519">
        <f>'Jrnl Rev'!$F278</f>
        <v>0</v>
      </c>
      <c r="F273" s="1519"/>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2">
      <c r="B274" s="146">
        <f>IF(AND('Jrnl Rev'!G279&lt;&gt;"",'Jrnl Rev'!C279&lt;&gt;""),1,0)</f>
        <v>0</v>
      </c>
      <c r="C274" s="146">
        <f>'Jrnl Rev'!$C279</f>
        <v>0</v>
      </c>
      <c r="D274" s="147">
        <f>'Jrnl Rev'!$D279</f>
        <v>0</v>
      </c>
      <c r="E274" s="1519">
        <f>'Jrnl Rev'!$F279</f>
        <v>0</v>
      </c>
      <c r="F274" s="1519"/>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2">
      <c r="B275" s="146">
        <f>IF(AND('Jrnl Rev'!G280&lt;&gt;"",'Jrnl Rev'!C280&lt;&gt;""),1,0)</f>
        <v>0</v>
      </c>
      <c r="C275" s="146">
        <f>'Jrnl Rev'!$C280</f>
        <v>0</v>
      </c>
      <c r="D275" s="147">
        <f>'Jrnl Rev'!$D280</f>
        <v>0</v>
      </c>
      <c r="E275" s="1519">
        <f>'Jrnl Rev'!$F280</f>
        <v>0</v>
      </c>
      <c r="F275" s="1519"/>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2">
      <c r="B276" s="146">
        <f>IF(AND('Jrnl Rev'!G281&lt;&gt;"",'Jrnl Rev'!C281&lt;&gt;""),1,0)</f>
        <v>0</v>
      </c>
      <c r="C276" s="146">
        <f>'Jrnl Rev'!$C281</f>
        <v>0</v>
      </c>
      <c r="D276" s="147">
        <f>'Jrnl Rev'!$D281</f>
        <v>0</v>
      </c>
      <c r="E276" s="1519">
        <f>'Jrnl Rev'!$F281</f>
        <v>0</v>
      </c>
      <c r="F276" s="1519"/>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2">
      <c r="B277" s="146">
        <f>IF(AND('Jrnl Rev'!G282&lt;&gt;"",'Jrnl Rev'!C282&lt;&gt;""),1,0)</f>
        <v>0</v>
      </c>
      <c r="C277" s="146">
        <f>'Jrnl Rev'!$C282</f>
        <v>0</v>
      </c>
      <c r="D277" s="147">
        <f>'Jrnl Rev'!$D282</f>
        <v>0</v>
      </c>
      <c r="E277" s="1519">
        <f>'Jrnl Rev'!$F282</f>
        <v>0</v>
      </c>
      <c r="F277" s="1519"/>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2">
      <c r="B278" s="146">
        <f>IF(AND('Jrnl Rev'!G283&lt;&gt;"",'Jrnl Rev'!C283&lt;&gt;""),1,0)</f>
        <v>0</v>
      </c>
      <c r="C278" s="146">
        <f>'Jrnl Rev'!$C283</f>
        <v>0</v>
      </c>
      <c r="D278" s="147">
        <f>'Jrnl Rev'!$D283</f>
        <v>0</v>
      </c>
      <c r="E278" s="1519">
        <f>'Jrnl Rev'!$F283</f>
        <v>0</v>
      </c>
      <c r="F278" s="1519"/>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2">
      <c r="B279" s="146">
        <f>IF(AND('Jrnl Rev'!G284&lt;&gt;"",'Jrnl Rev'!C284&lt;&gt;""),1,0)</f>
        <v>0</v>
      </c>
      <c r="C279" s="146">
        <f>'Jrnl Rev'!$C284</f>
        <v>0</v>
      </c>
      <c r="D279" s="147">
        <f>'Jrnl Rev'!$D284</f>
        <v>0</v>
      </c>
      <c r="E279" s="1519">
        <f>'Jrnl Rev'!$F284</f>
        <v>0</v>
      </c>
      <c r="F279" s="1519"/>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2">
      <c r="B280" s="146">
        <f>IF(AND('Jrnl Rev'!G285&lt;&gt;"",'Jrnl Rev'!C285&lt;&gt;""),1,0)</f>
        <v>0</v>
      </c>
      <c r="C280" s="146">
        <f>'Jrnl Rev'!$C285</f>
        <v>0</v>
      </c>
      <c r="D280" s="147">
        <f>'Jrnl Rev'!$D285</f>
        <v>0</v>
      </c>
      <c r="E280" s="1519">
        <f>'Jrnl Rev'!$F285</f>
        <v>0</v>
      </c>
      <c r="F280" s="1519"/>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2">
      <c r="B281" s="146">
        <f>IF(AND('Jrnl Rev'!G286&lt;&gt;"",'Jrnl Rev'!C286&lt;&gt;""),1,0)</f>
        <v>0</v>
      </c>
      <c r="C281" s="146">
        <f>'Jrnl Rev'!$C286</f>
        <v>0</v>
      </c>
      <c r="D281" s="147">
        <f>'Jrnl Rev'!$D286</f>
        <v>0</v>
      </c>
      <c r="E281" s="1519">
        <f>'Jrnl Rev'!$F286</f>
        <v>0</v>
      </c>
      <c r="F281" s="1519"/>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2">
      <c r="B282" s="146">
        <f>IF(AND('Jrnl Rev'!G287&lt;&gt;"",'Jrnl Rev'!C287&lt;&gt;""),1,0)</f>
        <v>0</v>
      </c>
      <c r="C282" s="146">
        <f>'Jrnl Rev'!$C287</f>
        <v>0</v>
      </c>
      <c r="D282" s="147">
        <f>'Jrnl Rev'!$D287</f>
        <v>0</v>
      </c>
      <c r="E282" s="1519">
        <f>'Jrnl Rev'!$F287</f>
        <v>0</v>
      </c>
      <c r="F282" s="1519"/>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2">
      <c r="B283" s="146">
        <f>IF(AND('Jrnl Rev'!G288&lt;&gt;"",'Jrnl Rev'!C288&lt;&gt;""),1,0)</f>
        <v>0</v>
      </c>
      <c r="C283" s="146">
        <f>'Jrnl Rev'!$C288</f>
        <v>0</v>
      </c>
      <c r="D283" s="147">
        <f>'Jrnl Rev'!$D288</f>
        <v>0</v>
      </c>
      <c r="E283" s="1519">
        <f>'Jrnl Rev'!$F288</f>
        <v>0</v>
      </c>
      <c r="F283" s="1519"/>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2">
      <c r="B284" s="146">
        <f>IF(AND('Jrnl Rev'!G289&lt;&gt;"",'Jrnl Rev'!C289&lt;&gt;""),1,0)</f>
        <v>0</v>
      </c>
      <c r="C284" s="146">
        <f>'Jrnl Rev'!$C289</f>
        <v>0</v>
      </c>
      <c r="D284" s="147">
        <f>'Jrnl Rev'!$D289</f>
        <v>0</v>
      </c>
      <c r="E284" s="1519">
        <f>'Jrnl Rev'!$F289</f>
        <v>0</v>
      </c>
      <c r="F284" s="1519"/>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2">
      <c r="B285" s="146">
        <f>IF(AND('Jrnl Rev'!G290&lt;&gt;"",'Jrnl Rev'!C290&lt;&gt;""),1,0)</f>
        <v>0</v>
      </c>
      <c r="C285" s="146">
        <f>'Jrnl Rev'!$C290</f>
        <v>0</v>
      </c>
      <c r="D285" s="147">
        <f>'Jrnl Rev'!$D290</f>
        <v>0</v>
      </c>
      <c r="E285" s="1519">
        <f>'Jrnl Rev'!$F290</f>
        <v>0</v>
      </c>
      <c r="F285" s="1519"/>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2">
      <c r="B286" s="146">
        <f>IF(AND('Jrnl Rev'!G291&lt;&gt;"",'Jrnl Rev'!C291&lt;&gt;""),1,0)</f>
        <v>0</v>
      </c>
      <c r="C286" s="146">
        <f>'Jrnl Rev'!$C291</f>
        <v>0</v>
      </c>
      <c r="D286" s="147">
        <f>'Jrnl Rev'!$D291</f>
        <v>0</v>
      </c>
      <c r="E286" s="1519">
        <f>'Jrnl Rev'!$F291</f>
        <v>0</v>
      </c>
      <c r="F286" s="1519"/>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2">
      <c r="B287" s="146">
        <f>IF(AND('Jrnl Rev'!G292&lt;&gt;"",'Jrnl Rev'!C292&lt;&gt;""),1,0)</f>
        <v>0</v>
      </c>
      <c r="C287" s="146">
        <f>'Jrnl Rev'!$C292</f>
        <v>0</v>
      </c>
      <c r="D287" s="147">
        <f>'Jrnl Rev'!$D292</f>
        <v>0</v>
      </c>
      <c r="E287" s="1519">
        <f>'Jrnl Rev'!$F292</f>
        <v>0</v>
      </c>
      <c r="F287" s="1519"/>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2">
      <c r="B288" s="146">
        <f>IF(AND('Jrnl Rev'!G293&lt;&gt;"",'Jrnl Rev'!C293&lt;&gt;""),1,0)</f>
        <v>0</v>
      </c>
      <c r="C288" s="146">
        <f>'Jrnl Rev'!$C293</f>
        <v>0</v>
      </c>
      <c r="D288" s="147">
        <f>'Jrnl Rev'!$D293</f>
        <v>0</v>
      </c>
      <c r="E288" s="1519">
        <f>'Jrnl Rev'!$F293</f>
        <v>0</v>
      </c>
      <c r="F288" s="1519"/>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2">
      <c r="B289" s="146">
        <f>IF(AND('Jrnl Rev'!G294&lt;&gt;"",'Jrnl Rev'!C294&lt;&gt;""),1,0)</f>
        <v>0</v>
      </c>
      <c r="C289" s="146">
        <f>'Jrnl Rev'!$C294</f>
        <v>0</v>
      </c>
      <c r="D289" s="147">
        <f>'Jrnl Rev'!$D294</f>
        <v>0</v>
      </c>
      <c r="E289" s="1519">
        <f>'Jrnl Rev'!$F294</f>
        <v>0</v>
      </c>
      <c r="F289" s="1519"/>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2">
      <c r="B290" s="146">
        <f>IF(AND('Jrnl Rev'!G295&lt;&gt;"",'Jrnl Rev'!C295&lt;&gt;""),1,0)</f>
        <v>0</v>
      </c>
      <c r="C290" s="146">
        <f>'Jrnl Rev'!$C295</f>
        <v>0</v>
      </c>
      <c r="D290" s="147">
        <f>'Jrnl Rev'!$D295</f>
        <v>0</v>
      </c>
      <c r="E290" s="1519">
        <f>'Jrnl Rev'!$F295</f>
        <v>0</v>
      </c>
      <c r="F290" s="1519"/>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2">
      <c r="B291" s="146">
        <f>IF(AND('Jrnl Rev'!G296&lt;&gt;"",'Jrnl Rev'!C296&lt;&gt;""),1,0)</f>
        <v>0</v>
      </c>
      <c r="C291" s="146">
        <f>'Jrnl Rev'!$C296</f>
        <v>0</v>
      </c>
      <c r="D291" s="147">
        <f>'Jrnl Rev'!$D296</f>
        <v>0</v>
      </c>
      <c r="E291" s="1519">
        <f>'Jrnl Rev'!$F296</f>
        <v>0</v>
      </c>
      <c r="F291" s="1519"/>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2">
      <c r="B292" s="146">
        <f>IF(AND('Jrnl Rev'!G297&lt;&gt;"",'Jrnl Rev'!C297&lt;&gt;""),1,0)</f>
        <v>0</v>
      </c>
      <c r="C292" s="146">
        <f>'Jrnl Rev'!$C297</f>
        <v>0</v>
      </c>
      <c r="D292" s="147">
        <f>'Jrnl Rev'!$D297</f>
        <v>0</v>
      </c>
      <c r="E292" s="1519">
        <f>'Jrnl Rev'!$F297</f>
        <v>0</v>
      </c>
      <c r="F292" s="1519"/>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2">
      <c r="B293" s="146">
        <f>IF(AND('Jrnl Rev'!G298&lt;&gt;"",'Jrnl Rev'!C298&lt;&gt;""),1,0)</f>
        <v>0</v>
      </c>
      <c r="C293" s="146">
        <f>'Jrnl Rev'!$C298</f>
        <v>0</v>
      </c>
      <c r="D293" s="147">
        <f>'Jrnl Rev'!$D298</f>
        <v>0</v>
      </c>
      <c r="E293" s="1519">
        <f>'Jrnl Rev'!$F298</f>
        <v>0</v>
      </c>
      <c r="F293" s="1519"/>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2">
      <c r="B294" s="146">
        <f>IF(AND('Jrnl Rev'!G299&lt;&gt;"",'Jrnl Rev'!C299&lt;&gt;""),1,0)</f>
        <v>0</v>
      </c>
      <c r="C294" s="146">
        <f>'Jrnl Rev'!$C299</f>
        <v>0</v>
      </c>
      <c r="D294" s="147">
        <f>'Jrnl Rev'!$D299</f>
        <v>0</v>
      </c>
      <c r="E294" s="1519">
        <f>'Jrnl Rev'!$F299</f>
        <v>0</v>
      </c>
      <c r="F294" s="1519"/>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2">
      <c r="B295" s="146">
        <f>IF(AND('Jrnl Rev'!G300&lt;&gt;"",'Jrnl Rev'!C300&lt;&gt;""),1,0)</f>
        <v>0</v>
      </c>
      <c r="C295" s="146">
        <f>'Jrnl Rev'!$C300</f>
        <v>0</v>
      </c>
      <c r="D295" s="147">
        <f>'Jrnl Rev'!$D300</f>
        <v>0</v>
      </c>
      <c r="E295" s="1519">
        <f>'Jrnl Rev'!$F300</f>
        <v>0</v>
      </c>
      <c r="F295" s="1519"/>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2">
      <c r="B296" s="146">
        <f>IF(AND('Jrnl Rev'!G301&lt;&gt;"",'Jrnl Rev'!C301&lt;&gt;""),1,0)</f>
        <v>0</v>
      </c>
      <c r="C296" s="146">
        <f>'Jrnl Rev'!$C301</f>
        <v>0</v>
      </c>
      <c r="D296" s="147">
        <f>'Jrnl Rev'!$D301</f>
        <v>0</v>
      </c>
      <c r="E296" s="1519">
        <f>'Jrnl Rev'!$F301</f>
        <v>0</v>
      </c>
      <c r="F296" s="1519"/>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2">
      <c r="B297" s="146">
        <f>IF(AND('Jrnl Rev'!G302&lt;&gt;"",'Jrnl Rev'!C302&lt;&gt;""),1,0)</f>
        <v>0</v>
      </c>
      <c r="C297" s="146">
        <f>'Jrnl Rev'!$C302</f>
        <v>0</v>
      </c>
      <c r="D297" s="147">
        <f>'Jrnl Rev'!$D302</f>
        <v>0</v>
      </c>
      <c r="E297" s="1519">
        <f>'Jrnl Rev'!$F302</f>
        <v>0</v>
      </c>
      <c r="F297" s="1519"/>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2">
      <c r="B298" s="146">
        <f>IF(AND('Jrnl Rev'!G303&lt;&gt;"",'Jrnl Rev'!C303&lt;&gt;""),1,0)</f>
        <v>0</v>
      </c>
      <c r="C298" s="146">
        <f>'Jrnl Rev'!$C303</f>
        <v>0</v>
      </c>
      <c r="D298" s="147">
        <f>'Jrnl Rev'!$D303</f>
        <v>0</v>
      </c>
      <c r="E298" s="1519">
        <f>'Jrnl Rev'!$F303</f>
        <v>0</v>
      </c>
      <c r="F298" s="1519"/>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2">
      <c r="B299" s="146">
        <f>IF(AND('Jrnl Rev'!G304&lt;&gt;"",'Jrnl Rev'!C304&lt;&gt;""),1,0)</f>
        <v>0</v>
      </c>
      <c r="C299" s="146">
        <f>'Jrnl Rev'!$C304</f>
        <v>0</v>
      </c>
      <c r="D299" s="147">
        <f>'Jrnl Rev'!$D304</f>
        <v>0</v>
      </c>
      <c r="E299" s="1519">
        <f>'Jrnl Rev'!$F304</f>
        <v>0</v>
      </c>
      <c r="F299" s="1519"/>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2">
      <c r="B300" s="146">
        <f>IF(AND('Jrnl Rev'!G305&lt;&gt;"",'Jrnl Rev'!C305&lt;&gt;""),1,0)</f>
        <v>0</v>
      </c>
      <c r="C300" s="146">
        <f>'Jrnl Rev'!$C305</f>
        <v>0</v>
      </c>
      <c r="D300" s="147">
        <f>'Jrnl Rev'!$D305</f>
        <v>0</v>
      </c>
      <c r="E300" s="1519">
        <f>'Jrnl Rev'!$F305</f>
        <v>0</v>
      </c>
      <c r="F300" s="1519"/>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2">
      <c r="B301" s="146">
        <f>IF(AND('Jrnl Rev'!G306&lt;&gt;"",'Jrnl Rev'!C306&lt;&gt;""),1,0)</f>
        <v>0</v>
      </c>
      <c r="C301" s="146">
        <f>'Jrnl Rev'!$C306</f>
        <v>0</v>
      </c>
      <c r="D301" s="147">
        <f>'Jrnl Rev'!$D306</f>
        <v>0</v>
      </c>
      <c r="E301" s="1519">
        <f>'Jrnl Rev'!$F306</f>
        <v>0</v>
      </c>
      <c r="F301" s="1519"/>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2">
      <c r="B302" s="146">
        <f>IF(AND('Jrnl Rev'!G307&lt;&gt;"",'Jrnl Rev'!C307&lt;&gt;""),1,0)</f>
        <v>0</v>
      </c>
      <c r="C302" s="146">
        <f>'Jrnl Rev'!$C307</f>
        <v>0</v>
      </c>
      <c r="D302" s="147">
        <f>'Jrnl Rev'!$D307</f>
        <v>0</v>
      </c>
      <c r="E302" s="1519">
        <f>'Jrnl Rev'!$F307</f>
        <v>0</v>
      </c>
      <c r="F302" s="1519"/>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2">
      <c r="B303" s="146">
        <f>IF(AND('Jrnl Rev'!G308&lt;&gt;"",'Jrnl Rev'!C308&lt;&gt;""),1,0)</f>
        <v>0</v>
      </c>
      <c r="C303" s="146">
        <f>'Jrnl Rev'!$C308</f>
        <v>0</v>
      </c>
      <c r="D303" s="147">
        <f>'Jrnl Rev'!$D308</f>
        <v>0</v>
      </c>
      <c r="E303" s="1519">
        <f>'Jrnl Rev'!$F308</f>
        <v>0</v>
      </c>
      <c r="F303" s="1519"/>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2">
      <c r="B304" s="146">
        <f>IF(AND('Jrnl Rev'!G309&lt;&gt;"",'Jrnl Rev'!C309&lt;&gt;""),1,0)</f>
        <v>0</v>
      </c>
      <c r="C304" s="146">
        <f>'Jrnl Rev'!$C309</f>
        <v>0</v>
      </c>
      <c r="D304" s="147">
        <f>'Jrnl Rev'!$D309</f>
        <v>0</v>
      </c>
      <c r="E304" s="1519">
        <f>'Jrnl Rev'!$F309</f>
        <v>0</v>
      </c>
      <c r="F304" s="1519"/>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2">
      <c r="B305" s="146">
        <f>IF(AND('Jrnl Rev'!G310&lt;&gt;"",'Jrnl Rev'!C310&lt;&gt;""),1,0)</f>
        <v>0</v>
      </c>
      <c r="C305" s="146">
        <f>'Jrnl Rev'!$C310</f>
        <v>0</v>
      </c>
      <c r="D305" s="147">
        <f>'Jrnl Rev'!$D310</f>
        <v>0</v>
      </c>
      <c r="E305" s="1519">
        <f>'Jrnl Rev'!$F310</f>
        <v>0</v>
      </c>
      <c r="F305" s="1519"/>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2">
      <c r="B306" s="146">
        <f>IF(AND('Jrnl Rev'!G311&lt;&gt;"",'Jrnl Rev'!C311&lt;&gt;""),1,0)</f>
        <v>0</v>
      </c>
      <c r="C306" s="146">
        <f>'Jrnl Rev'!$C311</f>
        <v>0</v>
      </c>
      <c r="D306" s="147">
        <f>'Jrnl Rev'!$D311</f>
        <v>0</v>
      </c>
      <c r="E306" s="1519">
        <f>'Jrnl Rev'!$F311</f>
        <v>0</v>
      </c>
      <c r="F306" s="1519"/>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2">
      <c r="B307" s="146">
        <f>IF(AND('Jrnl Rev'!G312&lt;&gt;"",'Jrnl Rev'!C312&lt;&gt;""),1,0)</f>
        <v>0</v>
      </c>
      <c r="C307" s="146">
        <f>'Jrnl Rev'!$C312</f>
        <v>0</v>
      </c>
      <c r="D307" s="147">
        <f>'Jrnl Rev'!$D312</f>
        <v>0</v>
      </c>
      <c r="E307" s="1519">
        <f>'Jrnl Rev'!$F312</f>
        <v>0</v>
      </c>
      <c r="F307" s="1519"/>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2">
      <c r="B308" s="146">
        <f>IF(AND('Jrnl Rev'!G313&lt;&gt;"",'Jrnl Rev'!C313&lt;&gt;""),1,0)</f>
        <v>0</v>
      </c>
      <c r="C308" s="146">
        <f>'Jrnl Rev'!$C313</f>
        <v>0</v>
      </c>
      <c r="D308" s="147">
        <f>'Jrnl Rev'!$D313</f>
        <v>0</v>
      </c>
      <c r="E308" s="1519">
        <f>'Jrnl Rev'!$F313</f>
        <v>0</v>
      </c>
      <c r="F308" s="1519"/>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2">
      <c r="B309" s="146">
        <f>IF(AND('Jrnl Rev'!G314&lt;&gt;"",'Jrnl Rev'!C314&lt;&gt;""),1,0)</f>
        <v>0</v>
      </c>
      <c r="C309" s="146">
        <f>'Jrnl Rev'!$C314</f>
        <v>0</v>
      </c>
      <c r="D309" s="147">
        <f>'Jrnl Rev'!$D314</f>
        <v>0</v>
      </c>
      <c r="E309" s="1519">
        <f>'Jrnl Rev'!$F314</f>
        <v>0</v>
      </c>
      <c r="F309" s="1519"/>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2">
      <c r="B310" s="146">
        <f>IF(AND('Jrnl Rev'!G315&lt;&gt;"",'Jrnl Rev'!C315&lt;&gt;""),1,0)</f>
        <v>0</v>
      </c>
      <c r="C310" s="146">
        <f>'Jrnl Rev'!$C315</f>
        <v>0</v>
      </c>
      <c r="D310" s="147">
        <f>'Jrnl Rev'!$D315</f>
        <v>0</v>
      </c>
      <c r="E310" s="1519">
        <f>'Jrnl Rev'!$F315</f>
        <v>0</v>
      </c>
      <c r="F310" s="1519"/>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2">
      <c r="B311" s="146">
        <f>IF(AND('Jrnl Rev'!G316&lt;&gt;"",'Jrnl Rev'!C316&lt;&gt;""),1,0)</f>
        <v>0</v>
      </c>
      <c r="C311" s="146">
        <f>'Jrnl Rev'!$C316</f>
        <v>0</v>
      </c>
      <c r="D311" s="147">
        <f>'Jrnl Rev'!$D316</f>
        <v>0</v>
      </c>
      <c r="E311" s="1519">
        <f>'Jrnl Rev'!$F316</f>
        <v>0</v>
      </c>
      <c r="F311" s="1519"/>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2">
      <c r="B312" s="146">
        <f>IF(AND('Jrnl Rev'!G317&lt;&gt;"",'Jrnl Rev'!C317&lt;&gt;""),1,0)</f>
        <v>0</v>
      </c>
      <c r="C312" s="146">
        <f>'Jrnl Rev'!$C317</f>
        <v>0</v>
      </c>
      <c r="D312" s="147">
        <f>'Jrnl Rev'!$D317</f>
        <v>0</v>
      </c>
      <c r="E312" s="1519">
        <f>'Jrnl Rev'!$F317</f>
        <v>0</v>
      </c>
      <c r="F312" s="1519"/>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2">
      <c r="B313" s="146">
        <f>IF(AND('Jrnl Rev'!G318&lt;&gt;"",'Jrnl Rev'!C318&lt;&gt;""),1,0)</f>
        <v>0</v>
      </c>
      <c r="C313" s="146">
        <f>'Jrnl Rev'!$C318</f>
        <v>0</v>
      </c>
      <c r="D313" s="147">
        <f>'Jrnl Rev'!$D318</f>
        <v>0</v>
      </c>
      <c r="E313" s="1519">
        <f>'Jrnl Rev'!$F318</f>
        <v>0</v>
      </c>
      <c r="F313" s="1519"/>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2">
      <c r="B314" s="146">
        <f>IF(AND('Jrnl Rev'!G319&lt;&gt;"",'Jrnl Rev'!C319&lt;&gt;""),1,0)</f>
        <v>0</v>
      </c>
      <c r="C314" s="146">
        <f>'Jrnl Rev'!$C319</f>
        <v>0</v>
      </c>
      <c r="D314" s="147">
        <f>'Jrnl Rev'!$D319</f>
        <v>0</v>
      </c>
      <c r="E314" s="1519">
        <f>'Jrnl Rev'!$F319</f>
        <v>0</v>
      </c>
      <c r="F314" s="1519"/>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2">
      <c r="B315" s="146">
        <f>IF(AND('Jrnl Rev'!G320&lt;&gt;"",'Jrnl Rev'!C320&lt;&gt;""),1,0)</f>
        <v>0</v>
      </c>
      <c r="C315" s="146">
        <f>'Jrnl Rev'!$C320</f>
        <v>0</v>
      </c>
      <c r="D315" s="147">
        <f>'Jrnl Rev'!$D320</f>
        <v>0</v>
      </c>
      <c r="E315" s="1519">
        <f>'Jrnl Rev'!$F320</f>
        <v>0</v>
      </c>
      <c r="F315" s="1519"/>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2">
      <c r="B316" s="146">
        <f>IF(AND('Jrnl Rev'!G321&lt;&gt;"",'Jrnl Rev'!C321&lt;&gt;""),1,0)</f>
        <v>0</v>
      </c>
      <c r="C316" s="146">
        <f>'Jrnl Rev'!$C321</f>
        <v>0</v>
      </c>
      <c r="D316" s="147">
        <f>'Jrnl Rev'!$D321</f>
        <v>0</v>
      </c>
      <c r="E316" s="1519">
        <f>'Jrnl Rev'!$F321</f>
        <v>0</v>
      </c>
      <c r="F316" s="1519"/>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2">
      <c r="B317" s="146">
        <f>IF(AND('Jrnl Rev'!G322&lt;&gt;"",'Jrnl Rev'!C322&lt;&gt;""),1,0)</f>
        <v>0</v>
      </c>
      <c r="C317" s="146">
        <f>'Jrnl Rev'!$C322</f>
        <v>0</v>
      </c>
      <c r="D317" s="147">
        <f>'Jrnl Rev'!$D322</f>
        <v>0</v>
      </c>
      <c r="E317" s="1519">
        <f>'Jrnl Rev'!$F322</f>
        <v>0</v>
      </c>
      <c r="F317" s="1519"/>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2">
      <c r="B318" s="146">
        <f>IF(AND('Jrnl Rev'!G323&lt;&gt;"",'Jrnl Rev'!C323&lt;&gt;""),1,0)</f>
        <v>0</v>
      </c>
      <c r="C318" s="146">
        <f>'Jrnl Rev'!$C323</f>
        <v>0</v>
      </c>
      <c r="D318" s="147">
        <f>'Jrnl Rev'!$D323</f>
        <v>0</v>
      </c>
      <c r="E318" s="1519">
        <f>'Jrnl Rev'!$F323</f>
        <v>0</v>
      </c>
      <c r="F318" s="1519"/>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2">
      <c r="B319" s="146">
        <f>IF(AND('Jrnl Rev'!G324&lt;&gt;"",'Jrnl Rev'!C324&lt;&gt;""),1,0)</f>
        <v>0</v>
      </c>
      <c r="C319" s="146">
        <f>'Jrnl Rev'!$C324</f>
        <v>0</v>
      </c>
      <c r="D319" s="147">
        <f>'Jrnl Rev'!$D324</f>
        <v>0</v>
      </c>
      <c r="E319" s="1519">
        <f>'Jrnl Rev'!$F324</f>
        <v>0</v>
      </c>
      <c r="F319" s="1519"/>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2">
      <c r="B320" s="146">
        <f>IF(AND('Jrnl Rev'!G325&lt;&gt;"",'Jrnl Rev'!C325&lt;&gt;""),1,0)</f>
        <v>0</v>
      </c>
      <c r="C320" s="146">
        <f>'Jrnl Rev'!$C325</f>
        <v>0</v>
      </c>
      <c r="D320" s="147">
        <f>'Jrnl Rev'!$D325</f>
        <v>0</v>
      </c>
      <c r="E320" s="1519">
        <f>'Jrnl Rev'!$F325</f>
        <v>0</v>
      </c>
      <c r="F320" s="1519"/>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2">
      <c r="B321" s="146">
        <f>IF(AND('Jrnl Rev'!G326&lt;&gt;"",'Jrnl Rev'!C326&lt;&gt;""),1,0)</f>
        <v>0</v>
      </c>
      <c r="C321" s="146">
        <f>'Jrnl Rev'!$C326</f>
        <v>0</v>
      </c>
      <c r="D321" s="147">
        <f>'Jrnl Rev'!$D326</f>
        <v>0</v>
      </c>
      <c r="E321" s="1519">
        <f>'Jrnl Rev'!$F326</f>
        <v>0</v>
      </c>
      <c r="F321" s="1519"/>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2">
      <c r="B322" s="146">
        <f>IF(AND('Jrnl Rev'!G327&lt;&gt;"",'Jrnl Rev'!C327&lt;&gt;""),1,0)</f>
        <v>0</v>
      </c>
      <c r="C322" s="146">
        <f>'Jrnl Rev'!$C327</f>
        <v>0</v>
      </c>
      <c r="D322" s="147">
        <f>'Jrnl Rev'!$D327</f>
        <v>0</v>
      </c>
      <c r="E322" s="1519">
        <f>'Jrnl Rev'!$F327</f>
        <v>0</v>
      </c>
      <c r="F322" s="1519"/>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2">
      <c r="B323" s="146">
        <f>IF(AND('Jrnl Rev'!G328&lt;&gt;"",'Jrnl Rev'!C328&lt;&gt;""),1,0)</f>
        <v>0</v>
      </c>
      <c r="C323" s="146">
        <f>'Jrnl Rev'!$C328</f>
        <v>0</v>
      </c>
      <c r="D323" s="147">
        <f>'Jrnl Rev'!$D328</f>
        <v>0</v>
      </c>
      <c r="E323" s="1519">
        <f>'Jrnl Rev'!$F328</f>
        <v>0</v>
      </c>
      <c r="F323" s="1519"/>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2">
      <c r="B324" s="146">
        <f>IF(AND('Jrnl Rev'!G329&lt;&gt;"",'Jrnl Rev'!C329&lt;&gt;""),1,0)</f>
        <v>0</v>
      </c>
      <c r="C324" s="146">
        <f>'Jrnl Rev'!$C329</f>
        <v>0</v>
      </c>
      <c r="D324" s="147">
        <f>'Jrnl Rev'!$D329</f>
        <v>0</v>
      </c>
      <c r="E324" s="1519">
        <f>'Jrnl Rev'!$F329</f>
        <v>0</v>
      </c>
      <c r="F324" s="1519"/>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2">
      <c r="B325" s="146">
        <f>IF(AND('Jrnl Rev'!G330&lt;&gt;"",'Jrnl Rev'!C330&lt;&gt;""),1,0)</f>
        <v>0</v>
      </c>
      <c r="C325" s="146">
        <f>'Jrnl Rev'!$C330</f>
        <v>0</v>
      </c>
      <c r="D325" s="147">
        <f>'Jrnl Rev'!$D330</f>
        <v>0</v>
      </c>
      <c r="E325" s="1519">
        <f>'Jrnl Rev'!$F330</f>
        <v>0</v>
      </c>
      <c r="F325" s="1519"/>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2">
      <c r="B326" s="146">
        <f>IF(AND('Jrnl Rev'!G331&lt;&gt;"",'Jrnl Rev'!C331&lt;&gt;""),1,0)</f>
        <v>0</v>
      </c>
      <c r="C326" s="146">
        <f>'Jrnl Rev'!$C331</f>
        <v>0</v>
      </c>
      <c r="D326" s="147">
        <f>'Jrnl Rev'!$D331</f>
        <v>0</v>
      </c>
      <c r="E326" s="1519">
        <f>'Jrnl Rev'!$F331</f>
        <v>0</v>
      </c>
      <c r="F326" s="1519"/>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2">
      <c r="B327" s="146">
        <f>IF(AND('Jrnl Rev'!G332&lt;&gt;"",'Jrnl Rev'!C332&lt;&gt;""),1,0)</f>
        <v>0</v>
      </c>
      <c r="C327" s="146">
        <f>'Jrnl Rev'!$C332</f>
        <v>0</v>
      </c>
      <c r="D327" s="147">
        <f>'Jrnl Rev'!$D332</f>
        <v>0</v>
      </c>
      <c r="E327" s="1519">
        <f>'Jrnl Rev'!$F332</f>
        <v>0</v>
      </c>
      <c r="F327" s="1519"/>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2">
      <c r="B328" s="146">
        <f>IF(AND('Jrnl Rev'!G333&lt;&gt;"",'Jrnl Rev'!C333&lt;&gt;""),1,0)</f>
        <v>0</v>
      </c>
      <c r="C328" s="146">
        <f>'Jrnl Rev'!$C333</f>
        <v>0</v>
      </c>
      <c r="D328" s="147">
        <f>'Jrnl Rev'!$D333</f>
        <v>0</v>
      </c>
      <c r="E328" s="1519">
        <f>'Jrnl Rev'!$F333</f>
        <v>0</v>
      </c>
      <c r="F328" s="1519"/>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2">
      <c r="B329" s="146">
        <f>IF(AND('Jrnl Rev'!G334&lt;&gt;"",'Jrnl Rev'!C334&lt;&gt;""),1,0)</f>
        <v>0</v>
      </c>
      <c r="C329" s="146">
        <f>'Jrnl Rev'!$C334</f>
        <v>0</v>
      </c>
      <c r="D329" s="147">
        <f>'Jrnl Rev'!$D334</f>
        <v>0</v>
      </c>
      <c r="E329" s="1519">
        <f>'Jrnl Rev'!$F334</f>
        <v>0</v>
      </c>
      <c r="F329" s="1519"/>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2">
      <c r="B330" s="146">
        <f>IF(AND('Jrnl Rev'!G335&lt;&gt;"",'Jrnl Rev'!C335&lt;&gt;""),1,0)</f>
        <v>0</v>
      </c>
      <c r="C330" s="146">
        <f>'Jrnl Rev'!$C335</f>
        <v>0</v>
      </c>
      <c r="D330" s="147">
        <f>'Jrnl Rev'!$D335</f>
        <v>0</v>
      </c>
      <c r="E330" s="1519">
        <f>'Jrnl Rev'!$F335</f>
        <v>0</v>
      </c>
      <c r="F330" s="1519"/>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2">
      <c r="B331" s="146">
        <f>IF(AND('Jrnl Rev'!G336&lt;&gt;"",'Jrnl Rev'!C336&lt;&gt;""),1,0)</f>
        <v>0</v>
      </c>
      <c r="C331" s="146">
        <f>'Jrnl Rev'!$C336</f>
        <v>0</v>
      </c>
      <c r="D331" s="147">
        <f>'Jrnl Rev'!$D336</f>
        <v>0</v>
      </c>
      <c r="E331" s="1519">
        <f>'Jrnl Rev'!$F336</f>
        <v>0</v>
      </c>
      <c r="F331" s="1519"/>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2">
      <c r="B332" s="146">
        <f>IF(AND('Jrnl Rev'!G337&lt;&gt;"",'Jrnl Rev'!C337&lt;&gt;""),1,0)</f>
        <v>0</v>
      </c>
      <c r="C332" s="146">
        <f>'Jrnl Rev'!$C337</f>
        <v>0</v>
      </c>
      <c r="D332" s="147">
        <f>'Jrnl Rev'!$D337</f>
        <v>0</v>
      </c>
      <c r="E332" s="1519">
        <f>'Jrnl Rev'!$F337</f>
        <v>0</v>
      </c>
      <c r="F332" s="1519"/>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2">
      <c r="B333" s="146">
        <f>IF(AND('Jrnl Rev'!G338&lt;&gt;"",'Jrnl Rev'!C338&lt;&gt;""),1,0)</f>
        <v>0</v>
      </c>
      <c r="C333" s="146">
        <f>'Jrnl Rev'!$C338</f>
        <v>0</v>
      </c>
      <c r="D333" s="147">
        <f>'Jrnl Rev'!$D338</f>
        <v>0</v>
      </c>
      <c r="E333" s="1519">
        <f>'Jrnl Rev'!$F338</f>
        <v>0</v>
      </c>
      <c r="F333" s="1519"/>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2">
      <c r="B334" s="146">
        <f>IF(AND('Jrnl Rev'!G339&lt;&gt;"",'Jrnl Rev'!C339&lt;&gt;""),1,0)</f>
        <v>0</v>
      </c>
      <c r="C334" s="146">
        <f>'Jrnl Rev'!$C339</f>
        <v>0</v>
      </c>
      <c r="D334" s="147">
        <f>'Jrnl Rev'!$D339</f>
        <v>0</v>
      </c>
      <c r="E334" s="1519">
        <f>'Jrnl Rev'!$F339</f>
        <v>0</v>
      </c>
      <c r="F334" s="1519"/>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2">
      <c r="B335" s="146">
        <f>IF(AND('Jrnl Rev'!G340&lt;&gt;"",'Jrnl Rev'!C340&lt;&gt;""),1,0)</f>
        <v>0</v>
      </c>
      <c r="C335" s="146">
        <f>'Jrnl Rev'!$C340</f>
        <v>0</v>
      </c>
      <c r="D335" s="147">
        <f>'Jrnl Rev'!$D340</f>
        <v>0</v>
      </c>
      <c r="E335" s="1519">
        <f>'Jrnl Rev'!$F340</f>
        <v>0</v>
      </c>
      <c r="F335" s="1519"/>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2">
      <c r="B336" s="146">
        <f>IF(AND('Jrnl Rev'!G341&lt;&gt;"",'Jrnl Rev'!C341&lt;&gt;""),1,0)</f>
        <v>0</v>
      </c>
      <c r="C336" s="146">
        <f>'Jrnl Rev'!$C341</f>
        <v>0</v>
      </c>
      <c r="D336" s="147">
        <f>'Jrnl Rev'!$D341</f>
        <v>0</v>
      </c>
      <c r="E336" s="1519">
        <f>'Jrnl Rev'!$F341</f>
        <v>0</v>
      </c>
      <c r="F336" s="1519"/>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2">
      <c r="B337" s="146">
        <f>IF(AND('Jrnl Rev'!G342&lt;&gt;"",'Jrnl Rev'!C342&lt;&gt;""),1,0)</f>
        <v>0</v>
      </c>
      <c r="C337" s="146">
        <f>'Jrnl Rev'!$C342</f>
        <v>0</v>
      </c>
      <c r="D337" s="147">
        <f>'Jrnl Rev'!$D342</f>
        <v>0</v>
      </c>
      <c r="E337" s="1519">
        <f>'Jrnl Rev'!$F342</f>
        <v>0</v>
      </c>
      <c r="F337" s="1519"/>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2">
      <c r="B338" s="146">
        <f>IF(AND('Jrnl Rev'!G343&lt;&gt;"",'Jrnl Rev'!C343&lt;&gt;""),1,0)</f>
        <v>0</v>
      </c>
      <c r="C338" s="146">
        <f>'Jrnl Rev'!$C343</f>
        <v>0</v>
      </c>
      <c r="D338" s="147">
        <f>'Jrnl Rev'!$D343</f>
        <v>0</v>
      </c>
      <c r="E338" s="1519">
        <f>'Jrnl Rev'!$F343</f>
        <v>0</v>
      </c>
      <c r="F338" s="1519"/>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2">
      <c r="B339" s="146">
        <f>IF(AND('Jrnl Rev'!G344&lt;&gt;"",'Jrnl Rev'!C344&lt;&gt;""),1,0)</f>
        <v>0</v>
      </c>
      <c r="C339" s="146">
        <f>'Jrnl Rev'!$C344</f>
        <v>0</v>
      </c>
      <c r="D339" s="147">
        <f>'Jrnl Rev'!$D344</f>
        <v>0</v>
      </c>
      <c r="E339" s="1519">
        <f>'Jrnl Rev'!$F344</f>
        <v>0</v>
      </c>
      <c r="F339" s="1519"/>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2">
      <c r="B340" s="146">
        <f>IF(AND('Jrnl Rev'!G345&lt;&gt;"",'Jrnl Rev'!C345&lt;&gt;""),1,0)</f>
        <v>0</v>
      </c>
      <c r="C340" s="146">
        <f>'Jrnl Rev'!$C345</f>
        <v>0</v>
      </c>
      <c r="D340" s="147">
        <f>'Jrnl Rev'!$D345</f>
        <v>0</v>
      </c>
      <c r="E340" s="1519">
        <f>'Jrnl Rev'!$F345</f>
        <v>0</v>
      </c>
      <c r="F340" s="1519"/>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2">
      <c r="B341" s="146">
        <f>IF(AND('Jrnl Rev'!G346&lt;&gt;"",'Jrnl Rev'!C346&lt;&gt;""),1,0)</f>
        <v>0</v>
      </c>
      <c r="C341" s="146">
        <f>'Jrnl Rev'!$C346</f>
        <v>0</v>
      </c>
      <c r="D341" s="147">
        <f>'Jrnl Rev'!$D346</f>
        <v>0</v>
      </c>
      <c r="E341" s="1519">
        <f>'Jrnl Rev'!$F346</f>
        <v>0</v>
      </c>
      <c r="F341" s="1519"/>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2">
      <c r="B342" s="146">
        <f>IF(AND('Jrnl Rev'!G347&lt;&gt;"",'Jrnl Rev'!C347&lt;&gt;""),1,0)</f>
        <v>0</v>
      </c>
      <c r="C342" s="146">
        <f>'Jrnl Rev'!$C347</f>
        <v>0</v>
      </c>
      <c r="D342" s="147">
        <f>'Jrnl Rev'!$D347</f>
        <v>0</v>
      </c>
      <c r="E342" s="1519">
        <f>'Jrnl Rev'!$F347</f>
        <v>0</v>
      </c>
      <c r="F342" s="1519"/>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2">
      <c r="B343" s="146">
        <f>IF(AND('Jrnl Rev'!G348&lt;&gt;"",'Jrnl Rev'!C348&lt;&gt;""),1,0)</f>
        <v>0</v>
      </c>
      <c r="C343" s="146">
        <f>'Jrnl Rev'!$C348</f>
        <v>0</v>
      </c>
      <c r="D343" s="147">
        <f>'Jrnl Rev'!$D348</f>
        <v>0</v>
      </c>
      <c r="E343" s="1519">
        <f>'Jrnl Rev'!$F348</f>
        <v>0</v>
      </c>
      <c r="F343" s="1519"/>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2">
      <c r="B344" s="146">
        <f>IF(AND('Jrnl Rev'!G349&lt;&gt;"",'Jrnl Rev'!C349&lt;&gt;""),1,0)</f>
        <v>0</v>
      </c>
      <c r="C344" s="146">
        <f>'Jrnl Rev'!$C349</f>
        <v>0</v>
      </c>
      <c r="D344" s="147">
        <f>'Jrnl Rev'!$D349</f>
        <v>0</v>
      </c>
      <c r="E344" s="1519">
        <f>'Jrnl Rev'!$F349</f>
        <v>0</v>
      </c>
      <c r="F344" s="1519"/>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2">
      <c r="B345" s="146">
        <f>IF(AND('Jrnl Rev'!G350&lt;&gt;"",'Jrnl Rev'!C350&lt;&gt;""),1,0)</f>
        <v>0</v>
      </c>
      <c r="C345" s="146">
        <f>'Jrnl Rev'!$C350</f>
        <v>0</v>
      </c>
      <c r="D345" s="147">
        <f>'Jrnl Rev'!$D350</f>
        <v>0</v>
      </c>
      <c r="E345" s="1519">
        <f>'Jrnl Rev'!$F350</f>
        <v>0</v>
      </c>
      <c r="F345" s="1519"/>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2">
      <c r="B346" s="146">
        <f>IF(AND('Jrnl Rev'!G351&lt;&gt;"",'Jrnl Rev'!C351&lt;&gt;""),1,0)</f>
        <v>0</v>
      </c>
      <c r="C346" s="146">
        <f>'Jrnl Rev'!$C351</f>
        <v>0</v>
      </c>
      <c r="D346" s="147">
        <f>'Jrnl Rev'!$D351</f>
        <v>0</v>
      </c>
      <c r="E346" s="1519">
        <f>'Jrnl Rev'!$F351</f>
        <v>0</v>
      </c>
      <c r="F346" s="1519"/>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2">
      <c r="B347" s="146">
        <f>IF(AND('Jrnl Rev'!G352&lt;&gt;"",'Jrnl Rev'!C352&lt;&gt;""),1,0)</f>
        <v>0</v>
      </c>
      <c r="C347" s="146">
        <f>'Jrnl Rev'!$C352</f>
        <v>0</v>
      </c>
      <c r="D347" s="147">
        <f>'Jrnl Rev'!$D352</f>
        <v>0</v>
      </c>
      <c r="E347" s="1519">
        <f>'Jrnl Rev'!$F352</f>
        <v>0</v>
      </c>
      <c r="F347" s="1519"/>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2">
      <c r="B348" s="146">
        <f>IF(AND('Jrnl Rev'!G353&lt;&gt;"",'Jrnl Rev'!C353&lt;&gt;""),1,0)</f>
        <v>0</v>
      </c>
      <c r="C348" s="146">
        <f>'Jrnl Rev'!$C353</f>
        <v>0</v>
      </c>
      <c r="D348" s="147">
        <f>'Jrnl Rev'!$D353</f>
        <v>0</v>
      </c>
      <c r="E348" s="1519">
        <f>'Jrnl Rev'!$F353</f>
        <v>0</v>
      </c>
      <c r="F348" s="1519"/>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2">
      <c r="B349" s="146">
        <f>IF(AND('Jrnl Rev'!G354&lt;&gt;"",'Jrnl Rev'!C354&lt;&gt;""),1,0)</f>
        <v>0</v>
      </c>
      <c r="C349" s="146">
        <f>'Jrnl Rev'!$C354</f>
        <v>0</v>
      </c>
      <c r="D349" s="147">
        <f>'Jrnl Rev'!$D354</f>
        <v>0</v>
      </c>
      <c r="E349" s="1519">
        <f>'Jrnl Rev'!$F354</f>
        <v>0</v>
      </c>
      <c r="F349" s="1519"/>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2">
      <c r="B350" s="146">
        <f>IF(AND('Jrnl Rev'!G355&lt;&gt;"",'Jrnl Rev'!C355&lt;&gt;""),1,0)</f>
        <v>0</v>
      </c>
      <c r="C350" s="146">
        <f>'Jrnl Rev'!$C355</f>
        <v>0</v>
      </c>
      <c r="D350" s="147">
        <f>'Jrnl Rev'!$D355</f>
        <v>0</v>
      </c>
      <c r="E350" s="1519">
        <f>'Jrnl Rev'!$F355</f>
        <v>0</v>
      </c>
      <c r="F350" s="1519"/>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2">
      <c r="B351" s="146">
        <f>IF(AND('Jrnl Rev'!G356&lt;&gt;"",'Jrnl Rev'!C356&lt;&gt;""),1,0)</f>
        <v>0</v>
      </c>
      <c r="C351" s="146">
        <f>'Jrnl Rev'!$C356</f>
        <v>0</v>
      </c>
      <c r="D351" s="147">
        <f>'Jrnl Rev'!$D356</f>
        <v>0</v>
      </c>
      <c r="E351" s="1519">
        <f>'Jrnl Rev'!$F356</f>
        <v>0</v>
      </c>
      <c r="F351" s="1519"/>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2">
      <c r="B352" s="146">
        <f>IF(AND('Jrnl Rev'!G357&lt;&gt;"",'Jrnl Rev'!C357&lt;&gt;""),1,0)</f>
        <v>0</v>
      </c>
      <c r="C352" s="146">
        <f>'Jrnl Rev'!$C357</f>
        <v>0</v>
      </c>
      <c r="D352" s="147">
        <f>'Jrnl Rev'!$D357</f>
        <v>0</v>
      </c>
      <c r="E352" s="1519">
        <f>'Jrnl Rev'!$F357</f>
        <v>0</v>
      </c>
      <c r="F352" s="1519"/>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2">
      <c r="B353" s="146">
        <f>IF(AND('Jrnl Rev'!G358&lt;&gt;"",'Jrnl Rev'!C358&lt;&gt;""),1,0)</f>
        <v>0</v>
      </c>
      <c r="C353" s="146">
        <f>'Jrnl Rev'!$C358</f>
        <v>0</v>
      </c>
      <c r="D353" s="147">
        <f>'Jrnl Rev'!$D358</f>
        <v>0</v>
      </c>
      <c r="E353" s="1519">
        <f>'Jrnl Rev'!$F358</f>
        <v>0</v>
      </c>
      <c r="F353" s="1519"/>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2">
      <c r="B354" s="146">
        <f>IF(AND('Jrnl Rev'!G359&lt;&gt;"",'Jrnl Rev'!C359&lt;&gt;""),1,0)</f>
        <v>0</v>
      </c>
      <c r="C354" s="146">
        <f>'Jrnl Rev'!$C359</f>
        <v>0</v>
      </c>
      <c r="D354" s="147">
        <f>'Jrnl Rev'!$D359</f>
        <v>0</v>
      </c>
      <c r="E354" s="1519">
        <f>'Jrnl Rev'!$F359</f>
        <v>0</v>
      </c>
      <c r="F354" s="1519"/>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2">
      <c r="B355" s="146">
        <f>IF(AND('Jrnl Rev'!G360&lt;&gt;"",'Jrnl Rev'!C360&lt;&gt;""),1,0)</f>
        <v>0</v>
      </c>
      <c r="C355" s="146">
        <f>'Jrnl Rev'!$C360</f>
        <v>0</v>
      </c>
      <c r="D355" s="147">
        <f>'Jrnl Rev'!$D360</f>
        <v>0</v>
      </c>
      <c r="E355" s="1519">
        <f>'Jrnl Rev'!$F360</f>
        <v>0</v>
      </c>
      <c r="F355" s="1519"/>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2">
      <c r="B356" s="146">
        <f>IF(AND('Jrnl Rev'!G361&lt;&gt;"",'Jrnl Rev'!C361&lt;&gt;""),1,0)</f>
        <v>0</v>
      </c>
      <c r="C356" s="146">
        <f>'Jrnl Rev'!$C361</f>
        <v>0</v>
      </c>
      <c r="D356" s="147">
        <f>'Jrnl Rev'!$D361</f>
        <v>0</v>
      </c>
      <c r="E356" s="1519">
        <f>'Jrnl Rev'!$F361</f>
        <v>0</v>
      </c>
      <c r="F356" s="1519"/>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2">
      <c r="B357" s="146">
        <f>IF(AND('Jrnl Rev'!G362&lt;&gt;"",'Jrnl Rev'!C362&lt;&gt;""),1,0)</f>
        <v>0</v>
      </c>
      <c r="C357" s="146">
        <f>'Jrnl Rev'!$C362</f>
        <v>0</v>
      </c>
      <c r="D357" s="147">
        <f>'Jrnl Rev'!$D362</f>
        <v>0</v>
      </c>
      <c r="E357" s="1519">
        <f>'Jrnl Rev'!$F362</f>
        <v>0</v>
      </c>
      <c r="F357" s="1519"/>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2">
      <c r="B358" s="146">
        <f>IF(AND('Jrnl Rev'!G363&lt;&gt;"",'Jrnl Rev'!C363&lt;&gt;""),1,0)</f>
        <v>0</v>
      </c>
      <c r="C358" s="146">
        <f>'Jrnl Rev'!$C363</f>
        <v>0</v>
      </c>
      <c r="D358" s="147">
        <f>'Jrnl Rev'!$D363</f>
        <v>0</v>
      </c>
      <c r="E358" s="1519">
        <f>'Jrnl Rev'!$F363</f>
        <v>0</v>
      </c>
      <c r="F358" s="1519"/>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2">
      <c r="B359" s="146">
        <f>IF(AND('Jrnl Rev'!G364&lt;&gt;"",'Jrnl Rev'!C364&lt;&gt;""),1,0)</f>
        <v>0</v>
      </c>
      <c r="C359" s="146">
        <f>'Jrnl Rev'!$C364</f>
        <v>0</v>
      </c>
      <c r="D359" s="147">
        <f>'Jrnl Rev'!$D364</f>
        <v>0</v>
      </c>
      <c r="E359" s="1519">
        <f>'Jrnl Rev'!$F364</f>
        <v>0</v>
      </c>
      <c r="F359" s="1519"/>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2">
      <c r="B360" s="146">
        <f>IF(AND('Jrnl Rev'!G365&lt;&gt;"",'Jrnl Rev'!C365&lt;&gt;""),1,0)</f>
        <v>0</v>
      </c>
      <c r="C360" s="146">
        <f>'Jrnl Rev'!$C365</f>
        <v>0</v>
      </c>
      <c r="D360" s="147">
        <f>'Jrnl Rev'!$D365</f>
        <v>0</v>
      </c>
      <c r="E360" s="1519">
        <f>'Jrnl Rev'!$F365</f>
        <v>0</v>
      </c>
      <c r="F360" s="1519"/>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2">
      <c r="B361" s="146">
        <f>IF(AND('Jrnl Rev'!G366&lt;&gt;"",'Jrnl Rev'!C366&lt;&gt;""),1,0)</f>
        <v>0</v>
      </c>
      <c r="C361" s="146">
        <f>'Jrnl Rev'!$C366</f>
        <v>0</v>
      </c>
      <c r="D361" s="147">
        <f>'Jrnl Rev'!$D366</f>
        <v>0</v>
      </c>
      <c r="E361" s="1519">
        <f>'Jrnl Rev'!$F366</f>
        <v>0</v>
      </c>
      <c r="F361" s="1519"/>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2">
      <c r="B362" s="146">
        <f>IF(AND('Jrnl Rev'!G367&lt;&gt;"",'Jrnl Rev'!C367&lt;&gt;""),1,0)</f>
        <v>0</v>
      </c>
      <c r="C362" s="146">
        <f>'Jrnl Rev'!$C367</f>
        <v>0</v>
      </c>
      <c r="D362" s="147">
        <f>'Jrnl Rev'!$D367</f>
        <v>0</v>
      </c>
      <c r="E362" s="1519">
        <f>'Jrnl Rev'!$F367</f>
        <v>0</v>
      </c>
      <c r="F362" s="1519"/>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2">
      <c r="B363" s="146">
        <f>IF(AND('Jrnl Rev'!G368&lt;&gt;"",'Jrnl Rev'!C368&lt;&gt;""),1,0)</f>
        <v>0</v>
      </c>
      <c r="C363" s="146">
        <f>'Jrnl Rev'!$C368</f>
        <v>0</v>
      </c>
      <c r="D363" s="147">
        <f>'Jrnl Rev'!$D368</f>
        <v>0</v>
      </c>
      <c r="E363" s="1519">
        <f>'Jrnl Rev'!$F368</f>
        <v>0</v>
      </c>
      <c r="F363" s="1519"/>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2">
      <c r="B364" s="146">
        <f>IF(AND('Jrnl Rev'!G369&lt;&gt;"",'Jrnl Rev'!C369&lt;&gt;""),1,0)</f>
        <v>0</v>
      </c>
      <c r="C364" s="146">
        <f>'Jrnl Rev'!$C369</f>
        <v>0</v>
      </c>
      <c r="D364" s="147">
        <f>'Jrnl Rev'!$D369</f>
        <v>0</v>
      </c>
      <c r="E364" s="1519">
        <f>'Jrnl Rev'!$F369</f>
        <v>0</v>
      </c>
      <c r="F364" s="1519"/>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2">
      <c r="B365" s="146">
        <f>IF(AND('Jrnl Rev'!G370&lt;&gt;"",'Jrnl Rev'!C370&lt;&gt;""),1,0)</f>
        <v>0</v>
      </c>
      <c r="C365" s="146">
        <f>'Jrnl Rev'!$C370</f>
        <v>0</v>
      </c>
      <c r="D365" s="147">
        <f>'Jrnl Rev'!$D370</f>
        <v>0</v>
      </c>
      <c r="E365" s="1519">
        <f>'Jrnl Rev'!$F370</f>
        <v>0</v>
      </c>
      <c r="F365" s="1519"/>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2">
      <c r="B366" s="146">
        <f>IF(AND('Jrnl Rev'!G371&lt;&gt;"",'Jrnl Rev'!C371&lt;&gt;""),1,0)</f>
        <v>0</v>
      </c>
      <c r="C366" s="146">
        <f>'Jrnl Rev'!$C371</f>
        <v>0</v>
      </c>
      <c r="D366" s="147">
        <f>'Jrnl Rev'!$D371</f>
        <v>0</v>
      </c>
      <c r="E366" s="1519">
        <f>'Jrnl Rev'!$F371</f>
        <v>0</v>
      </c>
      <c r="F366" s="1519"/>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2">
      <c r="B367" s="146">
        <f>IF(AND('Jrnl Rev'!G372&lt;&gt;"",'Jrnl Rev'!C372&lt;&gt;""),1,0)</f>
        <v>0</v>
      </c>
      <c r="C367" s="146">
        <f>'Jrnl Rev'!$C372</f>
        <v>0</v>
      </c>
      <c r="D367" s="147">
        <f>'Jrnl Rev'!$D372</f>
        <v>0</v>
      </c>
      <c r="E367" s="1519">
        <f>'Jrnl Rev'!$F372</f>
        <v>0</v>
      </c>
      <c r="F367" s="1519"/>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2">
      <c r="B368" s="146">
        <f>IF(AND('Jrnl Rev'!G373&lt;&gt;"",'Jrnl Rev'!C373&lt;&gt;""),1,0)</f>
        <v>0</v>
      </c>
      <c r="C368" s="146">
        <f>'Jrnl Rev'!$C373</f>
        <v>0</v>
      </c>
      <c r="D368" s="147">
        <f>'Jrnl Rev'!$D373</f>
        <v>0</v>
      </c>
      <c r="E368" s="1519">
        <f>'Jrnl Rev'!$F373</f>
        <v>0</v>
      </c>
      <c r="F368" s="1519"/>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2">
      <c r="B369" s="146">
        <f>IF(AND('Jrnl Rev'!G374&lt;&gt;"",'Jrnl Rev'!C374&lt;&gt;""),1,0)</f>
        <v>0</v>
      </c>
      <c r="C369" s="146">
        <f>'Jrnl Rev'!$C374</f>
        <v>0</v>
      </c>
      <c r="D369" s="147">
        <f>'Jrnl Rev'!$D374</f>
        <v>0</v>
      </c>
      <c r="E369" s="1519">
        <f>'Jrnl Rev'!$F374</f>
        <v>0</v>
      </c>
      <c r="F369" s="1519"/>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2">
      <c r="B370" s="146">
        <f>IF(AND('Jrnl Rev'!G375&lt;&gt;"",'Jrnl Rev'!C375&lt;&gt;""),1,0)</f>
        <v>0</v>
      </c>
      <c r="C370" s="146">
        <f>'Jrnl Rev'!$C375</f>
        <v>0</v>
      </c>
      <c r="D370" s="147">
        <f>'Jrnl Rev'!$D375</f>
        <v>0</v>
      </c>
      <c r="E370" s="1519">
        <f>'Jrnl Rev'!$F375</f>
        <v>0</v>
      </c>
      <c r="F370" s="1519"/>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2">
      <c r="B371" s="146">
        <f>IF(AND('Jrnl Rev'!G376&lt;&gt;"",'Jrnl Rev'!C376&lt;&gt;""),1,0)</f>
        <v>0</v>
      </c>
      <c r="C371" s="146">
        <f>'Jrnl Rev'!$C376</f>
        <v>0</v>
      </c>
      <c r="D371" s="147">
        <f>'Jrnl Rev'!$D376</f>
        <v>0</v>
      </c>
      <c r="E371" s="1519">
        <f>'Jrnl Rev'!$F376</f>
        <v>0</v>
      </c>
      <c r="F371" s="1519"/>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2">
      <c r="B372" s="146">
        <f>IF(AND('Jrnl Rev'!G377&lt;&gt;"",'Jrnl Rev'!C377&lt;&gt;""),1,0)</f>
        <v>0</v>
      </c>
      <c r="C372" s="146">
        <f>'Jrnl Rev'!$C377</f>
        <v>0</v>
      </c>
      <c r="D372" s="147">
        <f>'Jrnl Rev'!$D377</f>
        <v>0</v>
      </c>
      <c r="E372" s="1519">
        <f>'Jrnl Rev'!$F377</f>
        <v>0</v>
      </c>
      <c r="F372" s="1519"/>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2">
      <c r="B373" s="146">
        <f>IF(AND('Jrnl Rev'!G378&lt;&gt;"",'Jrnl Rev'!C378&lt;&gt;""),1,0)</f>
        <v>0</v>
      </c>
      <c r="C373" s="146">
        <f>'Jrnl Rev'!$C378</f>
        <v>0</v>
      </c>
      <c r="D373" s="147">
        <f>'Jrnl Rev'!$D378</f>
        <v>0</v>
      </c>
      <c r="E373" s="1519">
        <f>'Jrnl Rev'!$F378</f>
        <v>0</v>
      </c>
      <c r="F373" s="1519"/>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2">
      <c r="B374" s="146">
        <f>IF(AND('Jrnl Rev'!G379&lt;&gt;"",'Jrnl Rev'!C379&lt;&gt;""),1,0)</f>
        <v>0</v>
      </c>
      <c r="C374" s="146">
        <f>'Jrnl Rev'!$C379</f>
        <v>0</v>
      </c>
      <c r="D374" s="147">
        <f>'Jrnl Rev'!$D379</f>
        <v>0</v>
      </c>
      <c r="E374" s="1519">
        <f>'Jrnl Rev'!$F379</f>
        <v>0</v>
      </c>
      <c r="F374" s="1519"/>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2">
      <c r="B375" s="146">
        <f>IF(AND('Jrnl Rev'!G380&lt;&gt;"",'Jrnl Rev'!C380&lt;&gt;""),1,0)</f>
        <v>0</v>
      </c>
      <c r="C375" s="146">
        <f>'Jrnl Rev'!$C380</f>
        <v>0</v>
      </c>
      <c r="D375" s="147">
        <f>'Jrnl Rev'!$D380</f>
        <v>0</v>
      </c>
      <c r="E375" s="1519">
        <f>'Jrnl Rev'!$F380</f>
        <v>0</v>
      </c>
      <c r="F375" s="1519"/>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2">
      <c r="B376" s="146">
        <f>IF(AND('Jrnl Rev'!G381&lt;&gt;"",'Jrnl Rev'!C381&lt;&gt;""),1,0)</f>
        <v>0</v>
      </c>
      <c r="C376" s="146">
        <f>'Jrnl Rev'!$C381</f>
        <v>0</v>
      </c>
      <c r="D376" s="147">
        <f>'Jrnl Rev'!$D381</f>
        <v>0</v>
      </c>
      <c r="E376" s="1519">
        <f>'Jrnl Rev'!$F381</f>
        <v>0</v>
      </c>
      <c r="F376" s="1519"/>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2">
      <c r="B377" s="146">
        <f>IF(AND('Jrnl Rev'!G382&lt;&gt;"",'Jrnl Rev'!C382&lt;&gt;""),1,0)</f>
        <v>0</v>
      </c>
      <c r="C377" s="146">
        <f>'Jrnl Rev'!$C382</f>
        <v>0</v>
      </c>
      <c r="D377" s="147">
        <f>'Jrnl Rev'!$D382</f>
        <v>0</v>
      </c>
      <c r="E377" s="1519">
        <f>'Jrnl Rev'!$F382</f>
        <v>0</v>
      </c>
      <c r="F377" s="1519"/>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2">
      <c r="B378" s="146">
        <f>IF(AND('Jrnl Rev'!G383&lt;&gt;"",'Jrnl Rev'!C383&lt;&gt;""),1,0)</f>
        <v>0</v>
      </c>
      <c r="C378" s="146">
        <f>'Jrnl Rev'!$C383</f>
        <v>0</v>
      </c>
      <c r="D378" s="147">
        <f>'Jrnl Rev'!$D383</f>
        <v>0</v>
      </c>
      <c r="E378" s="1519">
        <f>'Jrnl Rev'!$F383</f>
        <v>0</v>
      </c>
      <c r="F378" s="1519"/>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2">
      <c r="B379" s="146">
        <f>IF(AND('Jrnl Rev'!G384&lt;&gt;"",'Jrnl Rev'!C384&lt;&gt;""),1,0)</f>
        <v>0</v>
      </c>
      <c r="C379" s="146">
        <f>'Jrnl Rev'!$C384</f>
        <v>0</v>
      </c>
      <c r="D379" s="147">
        <f>'Jrnl Rev'!$D384</f>
        <v>0</v>
      </c>
      <c r="E379" s="1519">
        <f>'Jrnl Rev'!$F384</f>
        <v>0</v>
      </c>
      <c r="F379" s="1519"/>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2">
      <c r="B380" s="146">
        <f>IF(AND('Jrnl Rev'!G385&lt;&gt;"",'Jrnl Rev'!C385&lt;&gt;""),1,0)</f>
        <v>0</v>
      </c>
      <c r="C380" s="146">
        <f>'Jrnl Rev'!$C385</f>
        <v>0</v>
      </c>
      <c r="D380" s="147">
        <f>'Jrnl Rev'!$D385</f>
        <v>0</v>
      </c>
      <c r="E380" s="1519">
        <f>'Jrnl Rev'!$F385</f>
        <v>0</v>
      </c>
      <c r="F380" s="1519"/>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2">
      <c r="B381" s="146">
        <f>IF(AND('Jrnl Rev'!G386&lt;&gt;"",'Jrnl Rev'!C386&lt;&gt;""),1,0)</f>
        <v>0</v>
      </c>
      <c r="C381" s="146">
        <f>'Jrnl Rev'!$C386</f>
        <v>0</v>
      </c>
      <c r="D381" s="147">
        <f>'Jrnl Rev'!$D386</f>
        <v>0</v>
      </c>
      <c r="E381" s="1519">
        <f>'Jrnl Rev'!$F386</f>
        <v>0</v>
      </c>
      <c r="F381" s="1519"/>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2">
      <c r="B382" s="146">
        <f>IF(AND('Jrnl Rev'!G387&lt;&gt;"",'Jrnl Rev'!C387&lt;&gt;""),1,0)</f>
        <v>0</v>
      </c>
      <c r="C382" s="146">
        <f>'Jrnl Rev'!$C387</f>
        <v>0</v>
      </c>
      <c r="D382" s="147">
        <f>'Jrnl Rev'!$D387</f>
        <v>0</v>
      </c>
      <c r="E382" s="1519">
        <f>'Jrnl Rev'!$F387</f>
        <v>0</v>
      </c>
      <c r="F382" s="1519"/>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2">
      <c r="B383" s="146">
        <f>IF(AND('Jrnl Rev'!G388&lt;&gt;"",'Jrnl Rev'!C388&lt;&gt;""),1,0)</f>
        <v>0</v>
      </c>
      <c r="C383" s="146">
        <f>'Jrnl Rev'!$C388</f>
        <v>0</v>
      </c>
      <c r="D383" s="147">
        <f>'Jrnl Rev'!$D388</f>
        <v>0</v>
      </c>
      <c r="E383" s="1519">
        <f>'Jrnl Rev'!$F388</f>
        <v>0</v>
      </c>
      <c r="F383" s="1519"/>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2">
      <c r="B384" s="146">
        <f>IF(AND('Jrnl Rev'!G389&lt;&gt;"",'Jrnl Rev'!C389&lt;&gt;""),1,0)</f>
        <v>0</v>
      </c>
      <c r="C384" s="146">
        <f>'Jrnl Rev'!$C389</f>
        <v>0</v>
      </c>
      <c r="D384" s="147">
        <f>'Jrnl Rev'!$D389</f>
        <v>0</v>
      </c>
      <c r="E384" s="1519">
        <f>'Jrnl Rev'!$F389</f>
        <v>0</v>
      </c>
      <c r="F384" s="1519"/>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2">
      <c r="B385" s="146">
        <f>IF(AND('Jrnl Rev'!G390&lt;&gt;"",'Jrnl Rev'!C390&lt;&gt;""),1,0)</f>
        <v>0</v>
      </c>
      <c r="C385" s="146">
        <f>'Jrnl Rev'!$C390</f>
        <v>0</v>
      </c>
      <c r="D385" s="147">
        <f>'Jrnl Rev'!$D390</f>
        <v>0</v>
      </c>
      <c r="E385" s="1519">
        <f>'Jrnl Rev'!$F390</f>
        <v>0</v>
      </c>
      <c r="F385" s="1519"/>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2">
      <c r="B386" s="146">
        <f>IF(AND('Jrnl Rev'!G391&lt;&gt;"",'Jrnl Rev'!C391&lt;&gt;""),1,0)</f>
        <v>0</v>
      </c>
      <c r="C386" s="146">
        <f>'Jrnl Rev'!$C391</f>
        <v>0</v>
      </c>
      <c r="D386" s="147">
        <f>'Jrnl Rev'!$D391</f>
        <v>0</v>
      </c>
      <c r="E386" s="1519">
        <f>'Jrnl Rev'!$F391</f>
        <v>0</v>
      </c>
      <c r="F386" s="1519"/>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2">
      <c r="B387" s="146">
        <f>IF(AND('Jrnl Rev'!G392&lt;&gt;"",'Jrnl Rev'!C392&lt;&gt;""),1,0)</f>
        <v>0</v>
      </c>
      <c r="C387" s="146">
        <f>'Jrnl Rev'!$C392</f>
        <v>0</v>
      </c>
      <c r="D387" s="147">
        <f>'Jrnl Rev'!$D392</f>
        <v>0</v>
      </c>
      <c r="E387" s="1519">
        <f>'Jrnl Rev'!$F392</f>
        <v>0</v>
      </c>
      <c r="F387" s="1519"/>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2">
      <c r="B388" s="146">
        <f>IF(AND('Jrnl Rev'!G393&lt;&gt;"",'Jrnl Rev'!C393&lt;&gt;""),1,0)</f>
        <v>0</v>
      </c>
      <c r="C388" s="146">
        <f>'Jrnl Rev'!$C393</f>
        <v>0</v>
      </c>
      <c r="D388" s="147">
        <f>'Jrnl Rev'!$D393</f>
        <v>0</v>
      </c>
      <c r="E388" s="1519">
        <f>'Jrnl Rev'!$F393</f>
        <v>0</v>
      </c>
      <c r="F388" s="1519"/>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2">
      <c r="B389" s="146">
        <f>IF(AND('Jrnl Rev'!G394&lt;&gt;"",'Jrnl Rev'!C394&lt;&gt;""),1,0)</f>
        <v>0</v>
      </c>
      <c r="C389" s="146">
        <f>'Jrnl Rev'!$C394</f>
        <v>0</v>
      </c>
      <c r="D389" s="147">
        <f>'Jrnl Rev'!$D394</f>
        <v>0</v>
      </c>
      <c r="E389" s="1519">
        <f>'Jrnl Rev'!$F394</f>
        <v>0</v>
      </c>
      <c r="F389" s="1519"/>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2">
      <c r="B390" s="146">
        <f>IF(AND('Jrnl Rev'!G395&lt;&gt;"",'Jrnl Rev'!C395&lt;&gt;""),1,0)</f>
        <v>0</v>
      </c>
      <c r="C390" s="146">
        <f>'Jrnl Rev'!$C395</f>
        <v>0</v>
      </c>
      <c r="D390" s="147">
        <f>'Jrnl Rev'!$D395</f>
        <v>0</v>
      </c>
      <c r="E390" s="1519">
        <f>'Jrnl Rev'!$F395</f>
        <v>0</v>
      </c>
      <c r="F390" s="1519"/>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2">
      <c r="B391" s="146">
        <f>IF(AND('Jrnl Rev'!G396&lt;&gt;"",'Jrnl Rev'!C396&lt;&gt;""),1,0)</f>
        <v>0</v>
      </c>
      <c r="C391" s="146">
        <f>'Jrnl Rev'!$C396</f>
        <v>0</v>
      </c>
      <c r="D391" s="147">
        <f>'Jrnl Rev'!$D396</f>
        <v>0</v>
      </c>
      <c r="E391" s="1519">
        <f>'Jrnl Rev'!$F396</f>
        <v>0</v>
      </c>
      <c r="F391" s="1519"/>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2">
      <c r="B392" s="146">
        <f>IF(AND('Jrnl Rev'!G397&lt;&gt;"",'Jrnl Rev'!C397&lt;&gt;""),1,0)</f>
        <v>0</v>
      </c>
      <c r="C392" s="146">
        <f>'Jrnl Rev'!$C397</f>
        <v>0</v>
      </c>
      <c r="D392" s="147">
        <f>'Jrnl Rev'!$D397</f>
        <v>0</v>
      </c>
      <c r="E392" s="1519">
        <f>'Jrnl Rev'!$F397</f>
        <v>0</v>
      </c>
      <c r="F392" s="1519"/>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2">
      <c r="B393" s="146">
        <f>IF(AND('Jrnl Rev'!G398&lt;&gt;"",'Jrnl Rev'!C398&lt;&gt;""),1,0)</f>
        <v>0</v>
      </c>
      <c r="C393" s="146">
        <f>'Jrnl Rev'!$C398</f>
        <v>0</v>
      </c>
      <c r="D393" s="147">
        <f>'Jrnl Rev'!$D398</f>
        <v>0</v>
      </c>
      <c r="E393" s="1519">
        <f>'Jrnl Rev'!$F398</f>
        <v>0</v>
      </c>
      <c r="F393" s="1519"/>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2">
      <c r="B394" s="146">
        <f>IF(AND('Jrnl Rev'!G399&lt;&gt;"",'Jrnl Rev'!C399&lt;&gt;""),1,0)</f>
        <v>0</v>
      </c>
      <c r="C394" s="146">
        <f>'Jrnl Rev'!$C399</f>
        <v>0</v>
      </c>
      <c r="D394" s="147">
        <f>'Jrnl Rev'!$D399</f>
        <v>0</v>
      </c>
      <c r="E394" s="1519">
        <f>'Jrnl Rev'!$F399</f>
        <v>0</v>
      </c>
      <c r="F394" s="1519"/>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2">
      <c r="B395" s="146">
        <f>IF(AND('Jrnl Rev'!G400&lt;&gt;"",'Jrnl Rev'!C400&lt;&gt;""),1,0)</f>
        <v>0</v>
      </c>
      <c r="C395" s="146">
        <f>'Jrnl Rev'!$C400</f>
        <v>0</v>
      </c>
      <c r="D395" s="147">
        <f>'Jrnl Rev'!$D400</f>
        <v>0</v>
      </c>
      <c r="E395" s="1519">
        <f>'Jrnl Rev'!$F400</f>
        <v>0</v>
      </c>
      <c r="F395" s="1519"/>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2">
      <c r="B396" s="146">
        <f>IF(AND('Jrnl Rev'!G401&lt;&gt;"",'Jrnl Rev'!C401&lt;&gt;""),1,0)</f>
        <v>0</v>
      </c>
      <c r="C396" s="146">
        <f>'Jrnl Rev'!$C401</f>
        <v>0</v>
      </c>
      <c r="D396" s="147">
        <f>'Jrnl Rev'!$D401</f>
        <v>0</v>
      </c>
      <c r="E396" s="1519">
        <f>'Jrnl Rev'!$F401</f>
        <v>0</v>
      </c>
      <c r="F396" s="1519"/>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2">
      <c r="B397" s="146">
        <f>IF(AND('Jrnl Rev'!G402&lt;&gt;"",'Jrnl Rev'!C402&lt;&gt;""),1,0)</f>
        <v>0</v>
      </c>
      <c r="C397" s="146">
        <f>'Jrnl Rev'!$C402</f>
        <v>0</v>
      </c>
      <c r="D397" s="147">
        <f>'Jrnl Rev'!$D402</f>
        <v>0</v>
      </c>
      <c r="E397" s="1519">
        <f>'Jrnl Rev'!$F402</f>
        <v>0</v>
      </c>
      <c r="F397" s="1519"/>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2">
      <c r="B398" s="146">
        <f>IF(AND('Jrnl Rev'!G403&lt;&gt;"",'Jrnl Rev'!C403&lt;&gt;""),1,0)</f>
        <v>0</v>
      </c>
      <c r="C398" s="146">
        <f>'Jrnl Rev'!$C403</f>
        <v>0</v>
      </c>
      <c r="D398" s="147">
        <f>'Jrnl Rev'!$D403</f>
        <v>0</v>
      </c>
      <c r="E398" s="1519">
        <f>'Jrnl Rev'!$F403</f>
        <v>0</v>
      </c>
      <c r="F398" s="1519"/>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2">
      <c r="B399" s="146">
        <f>IF(AND('Jrnl Rev'!G404&lt;&gt;"",'Jrnl Rev'!C404&lt;&gt;""),1,0)</f>
        <v>0</v>
      </c>
      <c r="C399" s="146">
        <f>'Jrnl Rev'!$C404</f>
        <v>0</v>
      </c>
      <c r="D399" s="147">
        <f>'Jrnl Rev'!$D404</f>
        <v>0</v>
      </c>
      <c r="E399" s="1519">
        <f>'Jrnl Rev'!$F404</f>
        <v>0</v>
      </c>
      <c r="F399" s="1519"/>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2">
      <c r="B400" s="146">
        <f>IF(AND('Jrnl Rev'!G405&lt;&gt;"",'Jrnl Rev'!C405&lt;&gt;""),1,0)</f>
        <v>0</v>
      </c>
      <c r="C400" s="146">
        <f>'Jrnl Rev'!$C405</f>
        <v>0</v>
      </c>
      <c r="D400" s="147">
        <f>'Jrnl Rev'!$D405</f>
        <v>0</v>
      </c>
      <c r="E400" s="1519">
        <f>'Jrnl Rev'!$F405</f>
        <v>0</v>
      </c>
      <c r="F400" s="1519"/>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2">
      <c r="B401" s="146">
        <f>IF(AND('Jrnl Rev'!G406&lt;&gt;"",'Jrnl Rev'!C406&lt;&gt;""),1,0)</f>
        <v>0</v>
      </c>
      <c r="C401" s="146">
        <f>'Jrnl Rev'!$C406</f>
        <v>0</v>
      </c>
      <c r="D401" s="147">
        <f>'Jrnl Rev'!$D406</f>
        <v>0</v>
      </c>
      <c r="E401" s="1519">
        <f>'Jrnl Rev'!$F406</f>
        <v>0</v>
      </c>
      <c r="F401" s="1519"/>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2">
      <c r="B402" s="146">
        <f>IF(AND('Jrnl Rev'!G407&lt;&gt;"",'Jrnl Rev'!C407&lt;&gt;""),1,0)</f>
        <v>0</v>
      </c>
      <c r="C402" s="146">
        <f>'Jrnl Rev'!$C407</f>
        <v>0</v>
      </c>
      <c r="D402" s="147">
        <f>'Jrnl Rev'!$D407</f>
        <v>0</v>
      </c>
      <c r="E402" s="1519">
        <f>'Jrnl Rev'!$F407</f>
        <v>0</v>
      </c>
      <c r="F402" s="1519"/>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2">
      <c r="B403" s="146">
        <f>IF(AND('Jrnl Rev'!G408&lt;&gt;"",'Jrnl Rev'!C408&lt;&gt;""),1,0)</f>
        <v>0</v>
      </c>
      <c r="C403" s="146">
        <f>'Jrnl Rev'!$C408</f>
        <v>0</v>
      </c>
      <c r="D403" s="147">
        <f>'Jrnl Rev'!$D408</f>
        <v>0</v>
      </c>
      <c r="E403" s="1519">
        <f>'Jrnl Rev'!$F408</f>
        <v>0</v>
      </c>
      <c r="F403" s="1519"/>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2">
      <c r="B404" s="146">
        <f>IF(AND('Jrnl Rev'!G409&lt;&gt;"",'Jrnl Rev'!C409&lt;&gt;""),1,0)</f>
        <v>0</v>
      </c>
      <c r="C404" s="146">
        <f>'Jrnl Rev'!$C409</f>
        <v>0</v>
      </c>
      <c r="D404" s="147">
        <f>'Jrnl Rev'!$D409</f>
        <v>0</v>
      </c>
      <c r="E404" s="1519">
        <f>'Jrnl Rev'!$F409</f>
        <v>0</v>
      </c>
      <c r="F404" s="1519"/>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2">
      <c r="B405" s="146">
        <f>IF(AND('Jrnl Rev'!G410&lt;&gt;"",'Jrnl Rev'!C410&lt;&gt;""),1,0)</f>
        <v>0</v>
      </c>
      <c r="C405" s="146">
        <f>'Jrnl Rev'!$C410</f>
        <v>0</v>
      </c>
      <c r="D405" s="147">
        <f>'Jrnl Rev'!$D410</f>
        <v>0</v>
      </c>
      <c r="E405" s="1519">
        <f>'Jrnl Rev'!$F410</f>
        <v>0</v>
      </c>
      <c r="F405" s="1519"/>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2">
      <c r="B406" s="146">
        <f>IF(AND('Jrnl Rev'!G411&lt;&gt;"",'Jrnl Rev'!C411&lt;&gt;""),1,0)</f>
        <v>0</v>
      </c>
      <c r="C406" s="146">
        <f>'Jrnl Rev'!$C411</f>
        <v>0</v>
      </c>
      <c r="D406" s="147">
        <f>'Jrnl Rev'!$D411</f>
        <v>0</v>
      </c>
      <c r="E406" s="1519">
        <f>'Jrnl Rev'!$F411</f>
        <v>0</v>
      </c>
      <c r="F406" s="1519"/>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2">
      <c r="B407" s="146">
        <f>IF(AND('Jrnl Rev'!G412&lt;&gt;"",'Jrnl Rev'!C412&lt;&gt;""),1,0)</f>
        <v>0</v>
      </c>
      <c r="C407" s="146">
        <f>'Jrnl Rev'!$C412</f>
        <v>0</v>
      </c>
      <c r="D407" s="147">
        <f>'Jrnl Rev'!$D412</f>
        <v>0</v>
      </c>
      <c r="E407" s="1519">
        <f>'Jrnl Rev'!$F412</f>
        <v>0</v>
      </c>
      <c r="F407" s="1519"/>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2">
      <c r="B408" s="146">
        <f>IF(AND('Jrnl Rev'!G413&lt;&gt;"",'Jrnl Rev'!C413&lt;&gt;""),1,0)</f>
        <v>0</v>
      </c>
      <c r="C408" s="146">
        <f>'Jrnl Rev'!$C413</f>
        <v>0</v>
      </c>
      <c r="D408" s="147">
        <f>'Jrnl Rev'!$D413</f>
        <v>0</v>
      </c>
      <c r="E408" s="1519">
        <f>'Jrnl Rev'!$F413</f>
        <v>0</v>
      </c>
      <c r="F408" s="1519"/>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2">
      <c r="B409" s="146">
        <f>IF(AND('Jrnl Rev'!G414&lt;&gt;"",'Jrnl Rev'!C414&lt;&gt;""),1,0)</f>
        <v>0</v>
      </c>
      <c r="C409" s="146">
        <f>'Jrnl Rev'!$C414</f>
        <v>0</v>
      </c>
      <c r="D409" s="147">
        <f>'Jrnl Rev'!$D414</f>
        <v>0</v>
      </c>
      <c r="E409" s="1519">
        <f>'Jrnl Rev'!$F414</f>
        <v>0</v>
      </c>
      <c r="F409" s="1519"/>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2">
      <c r="B410" s="146">
        <f>IF(AND('Jrnl Rev'!G415&lt;&gt;"",'Jrnl Rev'!C415&lt;&gt;""),1,0)</f>
        <v>0</v>
      </c>
      <c r="C410" s="146">
        <f>'Jrnl Rev'!$C415</f>
        <v>0</v>
      </c>
      <c r="D410" s="147">
        <f>'Jrnl Rev'!$D415</f>
        <v>0</v>
      </c>
      <c r="E410" s="1519">
        <f>'Jrnl Rev'!$F415</f>
        <v>0</v>
      </c>
      <c r="F410" s="1519"/>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2">
      <c r="B411" s="146">
        <f>IF(AND('Jrnl Rev'!G416&lt;&gt;"",'Jrnl Rev'!C416&lt;&gt;""),1,0)</f>
        <v>0</v>
      </c>
      <c r="C411" s="146">
        <f>'Jrnl Rev'!$C416</f>
        <v>0</v>
      </c>
      <c r="D411" s="147">
        <f>'Jrnl Rev'!$D416</f>
        <v>0</v>
      </c>
      <c r="E411" s="1519">
        <f>'Jrnl Rev'!$F416</f>
        <v>0</v>
      </c>
      <c r="F411" s="1519"/>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2">
      <c r="B412" s="146">
        <f>IF(AND('Jrnl Rev'!G417&lt;&gt;"",'Jrnl Rev'!C417&lt;&gt;""),1,0)</f>
        <v>0</v>
      </c>
      <c r="C412" s="146">
        <f>'Jrnl Rev'!$C417</f>
        <v>0</v>
      </c>
      <c r="D412" s="147">
        <f>'Jrnl Rev'!$D417</f>
        <v>0</v>
      </c>
      <c r="E412" s="1519">
        <f>'Jrnl Rev'!$F417</f>
        <v>0</v>
      </c>
      <c r="F412" s="1519"/>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2">
      <c r="B413" s="146">
        <f>IF(AND('Jrnl Rev'!G418&lt;&gt;"",'Jrnl Rev'!C418&lt;&gt;""),1,0)</f>
        <v>0</v>
      </c>
      <c r="C413" s="146">
        <f>'Jrnl Rev'!$C418</f>
        <v>0</v>
      </c>
      <c r="D413" s="147">
        <f>'Jrnl Rev'!$D418</f>
        <v>0</v>
      </c>
      <c r="E413" s="1519">
        <f>'Jrnl Rev'!$F418</f>
        <v>0</v>
      </c>
      <c r="F413" s="1519"/>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2">
      <c r="B414" s="146">
        <f>IF(AND('Jrnl Rev'!G419&lt;&gt;"",'Jrnl Rev'!C419&lt;&gt;""),1,0)</f>
        <v>0</v>
      </c>
      <c r="C414" s="146">
        <f>'Jrnl Rev'!$C419</f>
        <v>0</v>
      </c>
      <c r="D414" s="147">
        <f>'Jrnl Rev'!$D419</f>
        <v>0</v>
      </c>
      <c r="E414" s="1519">
        <f>'Jrnl Rev'!$F419</f>
        <v>0</v>
      </c>
      <c r="F414" s="1519"/>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2">
      <c r="B415" s="146">
        <f>IF(AND('Jrnl Rev'!G420&lt;&gt;"",'Jrnl Rev'!C420&lt;&gt;""),1,0)</f>
        <v>0</v>
      </c>
      <c r="C415" s="146">
        <f>'Jrnl Rev'!$C420</f>
        <v>0</v>
      </c>
      <c r="D415" s="147">
        <f>'Jrnl Rev'!$D420</f>
        <v>0</v>
      </c>
      <c r="E415" s="1519">
        <f>'Jrnl Rev'!$F420</f>
        <v>0</v>
      </c>
      <c r="F415" s="1519"/>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2">
      <c r="B416" s="146">
        <f>IF(AND('Jrnl Rev'!G421&lt;&gt;"",'Jrnl Rev'!C421&lt;&gt;""),1,0)</f>
        <v>0</v>
      </c>
      <c r="C416" s="146">
        <f>'Jrnl Rev'!$C421</f>
        <v>0</v>
      </c>
      <c r="D416" s="147">
        <f>'Jrnl Rev'!$D421</f>
        <v>0</v>
      </c>
      <c r="E416" s="1519">
        <f>'Jrnl Rev'!$F421</f>
        <v>0</v>
      </c>
      <c r="F416" s="1519"/>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2">
      <c r="B417" s="146">
        <f>IF(AND('Jrnl Rev'!G422&lt;&gt;"",'Jrnl Rev'!C422&lt;&gt;""),1,0)</f>
        <v>0</v>
      </c>
      <c r="C417" s="146">
        <f>'Jrnl Rev'!$C422</f>
        <v>0</v>
      </c>
      <c r="D417" s="147">
        <f>'Jrnl Rev'!$D422</f>
        <v>0</v>
      </c>
      <c r="E417" s="1519">
        <f>'Jrnl Rev'!$F422</f>
        <v>0</v>
      </c>
      <c r="F417" s="1519"/>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2">
      <c r="B418" s="146">
        <f>IF(AND('Jrnl Rev'!G423&lt;&gt;"",'Jrnl Rev'!C423&lt;&gt;""),1,0)</f>
        <v>0</v>
      </c>
      <c r="C418" s="146">
        <f>'Jrnl Rev'!$C423</f>
        <v>0</v>
      </c>
      <c r="D418" s="147">
        <f>'Jrnl Rev'!$D423</f>
        <v>0</v>
      </c>
      <c r="E418" s="1519">
        <f>'Jrnl Rev'!$F423</f>
        <v>0</v>
      </c>
      <c r="F418" s="1519"/>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2">
      <c r="B419" s="146">
        <f>IF(AND('Jrnl Rev'!G424&lt;&gt;"",'Jrnl Rev'!C424&lt;&gt;""),1,0)</f>
        <v>0</v>
      </c>
      <c r="C419" s="146">
        <f>'Jrnl Rev'!$C424</f>
        <v>0</v>
      </c>
      <c r="D419" s="147">
        <f>'Jrnl Rev'!$D424</f>
        <v>0</v>
      </c>
      <c r="E419" s="1519">
        <f>'Jrnl Rev'!$F424</f>
        <v>0</v>
      </c>
      <c r="F419" s="1519"/>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2">
      <c r="B420" s="146">
        <f>IF(AND('Jrnl Rev'!G425&lt;&gt;"",'Jrnl Rev'!C425&lt;&gt;""),1,0)</f>
        <v>0</v>
      </c>
      <c r="C420" s="146">
        <f>'Jrnl Rev'!$C425</f>
        <v>0</v>
      </c>
      <c r="D420" s="147">
        <f>'Jrnl Rev'!$D425</f>
        <v>0</v>
      </c>
      <c r="E420" s="1519">
        <f>'Jrnl Rev'!$F425</f>
        <v>0</v>
      </c>
      <c r="F420" s="1519"/>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2">
      <c r="B421" s="146">
        <f>IF(AND('Jrnl Rev'!G426&lt;&gt;"",'Jrnl Rev'!C426&lt;&gt;""),1,0)</f>
        <v>0</v>
      </c>
      <c r="C421" s="146">
        <f>'Jrnl Rev'!$C426</f>
        <v>0</v>
      </c>
      <c r="D421" s="147">
        <f>'Jrnl Rev'!$D426</f>
        <v>0</v>
      </c>
      <c r="E421" s="1519">
        <f>'Jrnl Rev'!$F426</f>
        <v>0</v>
      </c>
      <c r="F421" s="1519"/>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2">
      <c r="B422" s="146">
        <f>IF(AND('Jrnl Rev'!G427&lt;&gt;"",'Jrnl Rev'!C427&lt;&gt;""),1,0)</f>
        <v>0</v>
      </c>
      <c r="C422" s="146">
        <f>'Jrnl Rev'!$C427</f>
        <v>0</v>
      </c>
      <c r="D422" s="147">
        <f>'Jrnl Rev'!$D427</f>
        <v>0</v>
      </c>
      <c r="E422" s="1519">
        <f>'Jrnl Rev'!$F427</f>
        <v>0</v>
      </c>
      <c r="F422" s="1519"/>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2">
      <c r="B423" s="146">
        <f>IF(AND('Jrnl Rev'!G428&lt;&gt;"",'Jrnl Rev'!C428&lt;&gt;""),1,0)</f>
        <v>0</v>
      </c>
      <c r="C423" s="146">
        <f>'Jrnl Rev'!$C428</f>
        <v>0</v>
      </c>
      <c r="D423" s="147">
        <f>'Jrnl Rev'!$D428</f>
        <v>0</v>
      </c>
      <c r="E423" s="1519">
        <f>'Jrnl Rev'!$F428</f>
        <v>0</v>
      </c>
      <c r="F423" s="1519"/>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2">
      <c r="B424" s="146">
        <f>IF(AND('Jrnl Rev'!G429&lt;&gt;"",'Jrnl Rev'!C429&lt;&gt;""),1,0)</f>
        <v>0</v>
      </c>
      <c r="C424" s="146">
        <f>'Jrnl Rev'!$C429</f>
        <v>0</v>
      </c>
      <c r="D424" s="147">
        <f>'Jrnl Rev'!$D429</f>
        <v>0</v>
      </c>
      <c r="E424" s="1519">
        <f>'Jrnl Rev'!$F429</f>
        <v>0</v>
      </c>
      <c r="F424" s="1519"/>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2">
      <c r="B425" s="146">
        <f>IF(AND('Jrnl Rev'!G430&lt;&gt;"",'Jrnl Rev'!C430&lt;&gt;""),1,0)</f>
        <v>0</v>
      </c>
      <c r="C425" s="146">
        <f>'Jrnl Rev'!$C430</f>
        <v>0</v>
      </c>
      <c r="D425" s="147">
        <f>'Jrnl Rev'!$D430</f>
        <v>0</v>
      </c>
      <c r="E425" s="1519">
        <f>'Jrnl Rev'!$F430</f>
        <v>0</v>
      </c>
      <c r="F425" s="1519"/>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2">
      <c r="B426" s="146">
        <f>IF(AND('Jrnl Rev'!G431&lt;&gt;"",'Jrnl Rev'!C431&lt;&gt;""),1,0)</f>
        <v>0</v>
      </c>
      <c r="C426" s="146">
        <f>'Jrnl Rev'!$C431</f>
        <v>0</v>
      </c>
      <c r="D426" s="147">
        <f>'Jrnl Rev'!$D431</f>
        <v>0</v>
      </c>
      <c r="E426" s="1519">
        <f>'Jrnl Rev'!$F431</f>
        <v>0</v>
      </c>
      <c r="F426" s="1519"/>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2">
      <c r="B427" s="146">
        <f>IF(AND('Jrnl Rev'!G432&lt;&gt;"",'Jrnl Rev'!C432&lt;&gt;""),1,0)</f>
        <v>0</v>
      </c>
      <c r="C427" s="146">
        <f>'Jrnl Rev'!$C432</f>
        <v>0</v>
      </c>
      <c r="D427" s="147">
        <f>'Jrnl Rev'!$D432</f>
        <v>0</v>
      </c>
      <c r="E427" s="1519">
        <f>'Jrnl Rev'!$F432</f>
        <v>0</v>
      </c>
      <c r="F427" s="1519"/>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2">
      <c r="B428" s="146">
        <f>IF(AND('Jrnl Rev'!G433&lt;&gt;"",'Jrnl Rev'!C433&lt;&gt;""),1,0)</f>
        <v>0</v>
      </c>
      <c r="C428" s="146">
        <f>'Jrnl Rev'!$C433</f>
        <v>0</v>
      </c>
      <c r="D428" s="147">
        <f>'Jrnl Rev'!$D433</f>
        <v>0</v>
      </c>
      <c r="E428" s="1519">
        <f>'Jrnl Rev'!$F433</f>
        <v>0</v>
      </c>
      <c r="F428" s="1519"/>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2">
      <c r="B429" s="146">
        <f>IF(AND('Jrnl Rev'!G434&lt;&gt;"",'Jrnl Rev'!C434&lt;&gt;""),1,0)</f>
        <v>0</v>
      </c>
      <c r="C429" s="146">
        <f>'Jrnl Rev'!$C434</f>
        <v>0</v>
      </c>
      <c r="D429" s="147">
        <f>'Jrnl Rev'!$D434</f>
        <v>0</v>
      </c>
      <c r="E429" s="1519">
        <f>'Jrnl Rev'!$F434</f>
        <v>0</v>
      </c>
      <c r="F429" s="1519"/>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2">
      <c r="B430" s="146">
        <f>IF(AND('Jrnl Rev'!G435&lt;&gt;"",'Jrnl Rev'!C435&lt;&gt;""),1,0)</f>
        <v>0</v>
      </c>
      <c r="C430" s="146">
        <f>'Jrnl Rev'!$C435</f>
        <v>0</v>
      </c>
      <c r="D430" s="147">
        <f>'Jrnl Rev'!$D435</f>
        <v>0</v>
      </c>
      <c r="E430" s="1519">
        <f>'Jrnl Rev'!$F435</f>
        <v>0</v>
      </c>
      <c r="F430" s="1519"/>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2">
      <c r="B431" s="146">
        <f>IF(AND('Jrnl Rev'!G436&lt;&gt;"",'Jrnl Rev'!C436&lt;&gt;""),1,0)</f>
        <v>0</v>
      </c>
      <c r="C431" s="146">
        <f>'Jrnl Rev'!$C436</f>
        <v>0</v>
      </c>
      <c r="D431" s="147">
        <f>'Jrnl Rev'!$D436</f>
        <v>0</v>
      </c>
      <c r="E431" s="1519">
        <f>'Jrnl Rev'!$F436</f>
        <v>0</v>
      </c>
      <c r="F431" s="1519"/>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2">
      <c r="B432" s="146">
        <f>IF(AND('Jrnl Rev'!G437&lt;&gt;"",'Jrnl Rev'!C437&lt;&gt;""),1,0)</f>
        <v>0</v>
      </c>
      <c r="C432" s="146">
        <f>'Jrnl Rev'!$C437</f>
        <v>0</v>
      </c>
      <c r="D432" s="147">
        <f>'Jrnl Rev'!$D437</f>
        <v>0</v>
      </c>
      <c r="E432" s="1519">
        <f>'Jrnl Rev'!$F437</f>
        <v>0</v>
      </c>
      <c r="F432" s="1519"/>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2">
      <c r="B433" s="146">
        <f>IF(AND('Jrnl Rev'!G438&lt;&gt;"",'Jrnl Rev'!C438&lt;&gt;""),1,0)</f>
        <v>0</v>
      </c>
      <c r="C433" s="146">
        <f>'Jrnl Rev'!$C438</f>
        <v>0</v>
      </c>
      <c r="D433" s="147">
        <f>'Jrnl Rev'!$D438</f>
        <v>0</v>
      </c>
      <c r="E433" s="1519">
        <f>'Jrnl Rev'!$F438</f>
        <v>0</v>
      </c>
      <c r="F433" s="1519"/>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2">
      <c r="B434" s="146">
        <f>IF(AND('Jrnl Rev'!G439&lt;&gt;"",'Jrnl Rev'!C439&lt;&gt;""),1,0)</f>
        <v>0</v>
      </c>
      <c r="C434" s="146">
        <f>'Jrnl Rev'!$C439</f>
        <v>0</v>
      </c>
      <c r="D434" s="147">
        <f>'Jrnl Rev'!$D439</f>
        <v>0</v>
      </c>
      <c r="E434" s="1519">
        <f>'Jrnl Rev'!$F439</f>
        <v>0</v>
      </c>
      <c r="F434" s="1519"/>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2">
      <c r="B435" s="146">
        <f>IF(AND('Jrnl Rev'!G440&lt;&gt;"",'Jrnl Rev'!C440&lt;&gt;""),1,0)</f>
        <v>0</v>
      </c>
      <c r="C435" s="146">
        <f>'Jrnl Rev'!$C440</f>
        <v>0</v>
      </c>
      <c r="D435" s="147">
        <f>'Jrnl Rev'!$D440</f>
        <v>0</v>
      </c>
      <c r="E435" s="1519">
        <f>'Jrnl Rev'!$F440</f>
        <v>0</v>
      </c>
      <c r="F435" s="1519"/>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2">
      <c r="B436" s="146">
        <f>IF(AND('Jrnl Rev'!G441&lt;&gt;"",'Jrnl Rev'!C441&lt;&gt;""),1,0)</f>
        <v>0</v>
      </c>
      <c r="C436" s="146">
        <f>'Jrnl Rev'!$C441</f>
        <v>0</v>
      </c>
      <c r="D436" s="147">
        <f>'Jrnl Rev'!$D441</f>
        <v>0</v>
      </c>
      <c r="E436" s="1519">
        <f>'Jrnl Rev'!$F441</f>
        <v>0</v>
      </c>
      <c r="F436" s="1519"/>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2">
      <c r="B437" s="146">
        <f>IF(AND('Jrnl Rev'!G442&lt;&gt;"",'Jrnl Rev'!C442&lt;&gt;""),1,0)</f>
        <v>0</v>
      </c>
      <c r="C437" s="146">
        <f>'Jrnl Rev'!$C442</f>
        <v>0</v>
      </c>
      <c r="D437" s="147">
        <f>'Jrnl Rev'!$D442</f>
        <v>0</v>
      </c>
      <c r="E437" s="1519">
        <f>'Jrnl Rev'!$F442</f>
        <v>0</v>
      </c>
      <c r="F437" s="1519"/>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2">
      <c r="B438" s="146">
        <f>IF(AND('Jrnl Rev'!G443&lt;&gt;"",'Jrnl Rev'!C443&lt;&gt;""),1,0)</f>
        <v>0</v>
      </c>
      <c r="C438" s="146">
        <f>'Jrnl Rev'!$C443</f>
        <v>0</v>
      </c>
      <c r="D438" s="147">
        <f>'Jrnl Rev'!$D443</f>
        <v>0</v>
      </c>
      <c r="E438" s="1519">
        <f>'Jrnl Rev'!$F443</f>
        <v>0</v>
      </c>
      <c r="F438" s="1519"/>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2">
      <c r="B439" s="146">
        <f>IF(AND('Jrnl Rev'!G444&lt;&gt;"",'Jrnl Rev'!C444&lt;&gt;""),1,0)</f>
        <v>0</v>
      </c>
      <c r="C439" s="146">
        <f>'Jrnl Rev'!$C444</f>
        <v>0</v>
      </c>
      <c r="D439" s="147">
        <f>'Jrnl Rev'!$D444</f>
        <v>0</v>
      </c>
      <c r="E439" s="1519">
        <f>'Jrnl Rev'!$F444</f>
        <v>0</v>
      </c>
      <c r="F439" s="1519"/>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2">
      <c r="B440" s="146">
        <f>IF(AND('Jrnl Rev'!G445&lt;&gt;"",'Jrnl Rev'!C445&lt;&gt;""),1,0)</f>
        <v>0</v>
      </c>
      <c r="C440" s="146">
        <f>'Jrnl Rev'!$C445</f>
        <v>0</v>
      </c>
      <c r="D440" s="147">
        <f>'Jrnl Rev'!$D445</f>
        <v>0</v>
      </c>
      <c r="E440" s="1519">
        <f>'Jrnl Rev'!$F445</f>
        <v>0</v>
      </c>
      <c r="F440" s="1519"/>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2">
      <c r="B441" s="146">
        <f>IF(AND('Jrnl Rev'!G446&lt;&gt;"",'Jrnl Rev'!C446&lt;&gt;""),1,0)</f>
        <v>0</v>
      </c>
      <c r="C441" s="146">
        <f>'Jrnl Rev'!$C446</f>
        <v>0</v>
      </c>
      <c r="D441" s="147">
        <f>'Jrnl Rev'!$D446</f>
        <v>0</v>
      </c>
      <c r="E441" s="1519">
        <f>'Jrnl Rev'!$F446</f>
        <v>0</v>
      </c>
      <c r="F441" s="1519"/>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2">
      <c r="B442" s="146">
        <f>IF(AND('Jrnl Rev'!G447&lt;&gt;"",'Jrnl Rev'!C447&lt;&gt;""),1,0)</f>
        <v>0</v>
      </c>
      <c r="C442" s="146">
        <f>'Jrnl Rev'!$C447</f>
        <v>0</v>
      </c>
      <c r="D442" s="147">
        <f>'Jrnl Rev'!$D447</f>
        <v>0</v>
      </c>
      <c r="E442" s="1519">
        <f>'Jrnl Rev'!$F447</f>
        <v>0</v>
      </c>
      <c r="F442" s="1519"/>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2">
      <c r="B443" s="146">
        <f>IF(AND('Jrnl Rev'!G448&lt;&gt;"",'Jrnl Rev'!C448&lt;&gt;""),1,0)</f>
        <v>0</v>
      </c>
      <c r="C443" s="146">
        <f>'Jrnl Rev'!$C448</f>
        <v>0</v>
      </c>
      <c r="D443" s="147">
        <f>'Jrnl Rev'!$D448</f>
        <v>0</v>
      </c>
      <c r="E443" s="1519">
        <f>'Jrnl Rev'!$F448</f>
        <v>0</v>
      </c>
      <c r="F443" s="1519"/>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2">
      <c r="B444" s="146">
        <f>IF(AND('Jrnl Rev'!G449&lt;&gt;"",'Jrnl Rev'!C449&lt;&gt;""),1,0)</f>
        <v>0</v>
      </c>
      <c r="C444" s="146">
        <f>'Jrnl Rev'!$C449</f>
        <v>0</v>
      </c>
      <c r="D444" s="147">
        <f>'Jrnl Rev'!$D449</f>
        <v>0</v>
      </c>
      <c r="E444" s="1519">
        <f>'Jrnl Rev'!$F449</f>
        <v>0</v>
      </c>
      <c r="F444" s="1519"/>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2">
      <c r="B445" s="146">
        <f>IF(AND('Jrnl Rev'!G450&lt;&gt;"",'Jrnl Rev'!C450&lt;&gt;""),1,0)</f>
        <v>0</v>
      </c>
      <c r="C445" s="146">
        <f>'Jrnl Rev'!$C450</f>
        <v>0</v>
      </c>
      <c r="D445" s="147">
        <f>'Jrnl Rev'!$D450</f>
        <v>0</v>
      </c>
      <c r="E445" s="1519">
        <f>'Jrnl Rev'!$F450</f>
        <v>0</v>
      </c>
      <c r="F445" s="1519"/>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2">
      <c r="B446" s="146">
        <f>IF(AND('Jrnl Rev'!G451&lt;&gt;"",'Jrnl Rev'!C451&lt;&gt;""),1,0)</f>
        <v>0</v>
      </c>
      <c r="C446" s="146">
        <f>'Jrnl Rev'!$C451</f>
        <v>0</v>
      </c>
      <c r="D446" s="147">
        <f>'Jrnl Rev'!$D451</f>
        <v>0</v>
      </c>
      <c r="E446" s="1519">
        <f>'Jrnl Rev'!$F451</f>
        <v>0</v>
      </c>
      <c r="F446" s="1519"/>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2">
      <c r="B447" s="146">
        <f>IF(AND('Jrnl Rev'!G452&lt;&gt;"",'Jrnl Rev'!C452&lt;&gt;""),1,0)</f>
        <v>0</v>
      </c>
      <c r="C447" s="146">
        <f>'Jrnl Rev'!$C452</f>
        <v>0</v>
      </c>
      <c r="D447" s="147">
        <f>'Jrnl Rev'!$D452</f>
        <v>0</v>
      </c>
      <c r="E447" s="1519">
        <f>'Jrnl Rev'!$F452</f>
        <v>0</v>
      </c>
      <c r="F447" s="1519"/>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2">
      <c r="B448" s="146">
        <f>IF(AND('Jrnl Rev'!G453&lt;&gt;"",'Jrnl Rev'!C453&lt;&gt;""),1,0)</f>
        <v>0</v>
      </c>
      <c r="C448" s="146">
        <f>'Jrnl Rev'!$C453</f>
        <v>0</v>
      </c>
      <c r="D448" s="147">
        <f>'Jrnl Rev'!$D453</f>
        <v>0</v>
      </c>
      <c r="E448" s="1519">
        <f>'Jrnl Rev'!$F453</f>
        <v>0</v>
      </c>
      <c r="F448" s="1519"/>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2">
      <c r="B449" s="146">
        <f>IF(AND('Jrnl Rev'!G454&lt;&gt;"",'Jrnl Rev'!C454&lt;&gt;""),1,0)</f>
        <v>0</v>
      </c>
      <c r="C449" s="146">
        <f>'Jrnl Rev'!$C454</f>
        <v>0</v>
      </c>
      <c r="D449" s="147">
        <f>'Jrnl Rev'!$D454</f>
        <v>0</v>
      </c>
      <c r="E449" s="1519">
        <f>'Jrnl Rev'!$F454</f>
        <v>0</v>
      </c>
      <c r="F449" s="1519"/>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2">
      <c r="B450" s="146">
        <f>IF(AND('Jrnl Rev'!G455&lt;&gt;"",'Jrnl Rev'!C455&lt;&gt;""),1,0)</f>
        <v>0</v>
      </c>
      <c r="C450" s="146">
        <f>'Jrnl Rev'!$C455</f>
        <v>0</v>
      </c>
      <c r="D450" s="147">
        <f>'Jrnl Rev'!$D455</f>
        <v>0</v>
      </c>
      <c r="E450" s="1519">
        <f>'Jrnl Rev'!$F455</f>
        <v>0</v>
      </c>
      <c r="F450" s="1519"/>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2">
      <c r="B451" s="146">
        <f>IF(AND('Jrnl Rev'!G456&lt;&gt;"",'Jrnl Rev'!C456&lt;&gt;""),1,0)</f>
        <v>0</v>
      </c>
      <c r="C451" s="146">
        <f>'Jrnl Rev'!$C456</f>
        <v>0</v>
      </c>
      <c r="D451" s="147">
        <f>'Jrnl Rev'!$D456</f>
        <v>0</v>
      </c>
      <c r="E451" s="1519">
        <f>'Jrnl Rev'!$F456</f>
        <v>0</v>
      </c>
      <c r="F451" s="1519"/>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2">
      <c r="B452" s="146">
        <f>IF(AND('Jrnl Rev'!G457&lt;&gt;"",'Jrnl Rev'!C457&lt;&gt;""),1,0)</f>
        <v>0</v>
      </c>
      <c r="C452" s="146">
        <f>'Jrnl Rev'!$C457</f>
        <v>0</v>
      </c>
      <c r="D452" s="147">
        <f>'Jrnl Rev'!$D457</f>
        <v>0</v>
      </c>
      <c r="E452" s="1519">
        <f>'Jrnl Rev'!$F457</f>
        <v>0</v>
      </c>
      <c r="F452" s="1519"/>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2">
      <c r="B453" s="146">
        <f>IF(AND('Jrnl Rev'!G458&lt;&gt;"",'Jrnl Rev'!C458&lt;&gt;""),1,0)</f>
        <v>0</v>
      </c>
      <c r="C453" s="146">
        <f>'Jrnl Rev'!$C458</f>
        <v>0</v>
      </c>
      <c r="D453" s="147">
        <f>'Jrnl Rev'!$D458</f>
        <v>0</v>
      </c>
      <c r="E453" s="1519">
        <f>'Jrnl Rev'!$F458</f>
        <v>0</v>
      </c>
      <c r="F453" s="1519"/>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2">
      <c r="B454" s="146">
        <f>IF(AND('Jrnl Rev'!G459&lt;&gt;"",'Jrnl Rev'!C459&lt;&gt;""),1,0)</f>
        <v>0</v>
      </c>
      <c r="C454" s="146">
        <f>'Jrnl Rev'!$C459</f>
        <v>0</v>
      </c>
      <c r="D454" s="147">
        <f>'Jrnl Rev'!$D459</f>
        <v>0</v>
      </c>
      <c r="E454" s="1519">
        <f>'Jrnl Rev'!$F459</f>
        <v>0</v>
      </c>
      <c r="F454" s="1519"/>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2">
      <c r="B455" s="146">
        <f>IF(AND('Jrnl Rev'!G460&lt;&gt;"",'Jrnl Rev'!C460&lt;&gt;""),1,0)</f>
        <v>0</v>
      </c>
      <c r="C455" s="146">
        <f>'Jrnl Rev'!$C460</f>
        <v>0</v>
      </c>
      <c r="D455" s="147">
        <f>'Jrnl Rev'!$D460</f>
        <v>0</v>
      </c>
      <c r="E455" s="1519">
        <f>'Jrnl Rev'!$F460</f>
        <v>0</v>
      </c>
      <c r="F455" s="1519"/>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2">
      <c r="B456" s="146">
        <f>IF(AND('Jrnl Rev'!G461&lt;&gt;"",'Jrnl Rev'!C461&lt;&gt;""),1,0)</f>
        <v>0</v>
      </c>
      <c r="C456" s="146">
        <f>'Jrnl Rev'!$C461</f>
        <v>0</v>
      </c>
      <c r="D456" s="147">
        <f>'Jrnl Rev'!$D461</f>
        <v>0</v>
      </c>
      <c r="E456" s="1519">
        <f>'Jrnl Rev'!$F461</f>
        <v>0</v>
      </c>
      <c r="F456" s="1519"/>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2">
      <c r="B457" s="146">
        <f>IF(AND('Jrnl Rev'!G462&lt;&gt;"",'Jrnl Rev'!C462&lt;&gt;""),1,0)</f>
        <v>0</v>
      </c>
      <c r="C457" s="146">
        <f>'Jrnl Rev'!$C462</f>
        <v>0</v>
      </c>
      <c r="D457" s="147">
        <f>'Jrnl Rev'!$D462</f>
        <v>0</v>
      </c>
      <c r="E457" s="1519">
        <f>'Jrnl Rev'!$F462</f>
        <v>0</v>
      </c>
      <c r="F457" s="1519"/>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2">
      <c r="B458" s="146">
        <f>IF(AND('Jrnl Rev'!G463&lt;&gt;"",'Jrnl Rev'!C463&lt;&gt;""),1,0)</f>
        <v>0</v>
      </c>
      <c r="C458" s="146">
        <f>'Jrnl Rev'!$C463</f>
        <v>0</v>
      </c>
      <c r="D458" s="147">
        <f>'Jrnl Rev'!$D463</f>
        <v>0</v>
      </c>
      <c r="E458" s="1519">
        <f>'Jrnl Rev'!$F463</f>
        <v>0</v>
      </c>
      <c r="F458" s="1519"/>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2">
      <c r="B459" s="146">
        <f>IF(AND('Jrnl Rev'!G464&lt;&gt;"",'Jrnl Rev'!C464&lt;&gt;""),1,0)</f>
        <v>0</v>
      </c>
      <c r="C459" s="146">
        <f>'Jrnl Rev'!$C464</f>
        <v>0</v>
      </c>
      <c r="D459" s="147">
        <f>'Jrnl Rev'!$D464</f>
        <v>0</v>
      </c>
      <c r="E459" s="1519">
        <f>'Jrnl Rev'!$F464</f>
        <v>0</v>
      </c>
      <c r="F459" s="1519"/>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2">
      <c r="B460" s="146">
        <f>IF(AND('Jrnl Rev'!G465&lt;&gt;"",'Jrnl Rev'!C465&lt;&gt;""),1,0)</f>
        <v>0</v>
      </c>
      <c r="C460" s="146">
        <f>'Jrnl Rev'!$C465</f>
        <v>0</v>
      </c>
      <c r="D460" s="147">
        <f>'Jrnl Rev'!$D465</f>
        <v>0</v>
      </c>
      <c r="E460" s="1519">
        <f>'Jrnl Rev'!$F465</f>
        <v>0</v>
      </c>
      <c r="F460" s="1519"/>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2">
      <c r="B461" s="146">
        <f>IF(AND('Jrnl Rev'!G466&lt;&gt;"",'Jrnl Rev'!C466&lt;&gt;""),1,0)</f>
        <v>0</v>
      </c>
      <c r="C461" s="146">
        <f>'Jrnl Rev'!$C466</f>
        <v>0</v>
      </c>
      <c r="D461" s="147">
        <f>'Jrnl Rev'!$D466</f>
        <v>0</v>
      </c>
      <c r="E461" s="1519">
        <f>'Jrnl Rev'!$F466</f>
        <v>0</v>
      </c>
      <c r="F461" s="1519"/>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2">
      <c r="B462" s="146">
        <f>IF(AND('Jrnl Rev'!G467&lt;&gt;"",'Jrnl Rev'!C467&lt;&gt;""),1,0)</f>
        <v>0</v>
      </c>
      <c r="C462" s="146">
        <f>'Jrnl Rev'!$C467</f>
        <v>0</v>
      </c>
      <c r="D462" s="147">
        <f>'Jrnl Rev'!$D467</f>
        <v>0</v>
      </c>
      <c r="E462" s="1519">
        <f>'Jrnl Rev'!$F467</f>
        <v>0</v>
      </c>
      <c r="F462" s="1519"/>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2">
      <c r="B463" s="146">
        <f>IF(AND('Jrnl Rev'!G468&lt;&gt;"",'Jrnl Rev'!C468&lt;&gt;""),1,0)</f>
        <v>0</v>
      </c>
      <c r="C463" s="146">
        <f>'Jrnl Rev'!$C468</f>
        <v>0</v>
      </c>
      <c r="D463" s="147">
        <f>'Jrnl Rev'!$D468</f>
        <v>0</v>
      </c>
      <c r="E463" s="1519">
        <f>'Jrnl Rev'!$F468</f>
        <v>0</v>
      </c>
      <c r="F463" s="1519"/>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2">
      <c r="B464" s="146">
        <f>IF(AND('Jrnl Rev'!G469&lt;&gt;"",'Jrnl Rev'!C469&lt;&gt;""),1,0)</f>
        <v>0</v>
      </c>
      <c r="C464" s="146">
        <f>'Jrnl Rev'!$C469</f>
        <v>0</v>
      </c>
      <c r="D464" s="147">
        <f>'Jrnl Rev'!$D469</f>
        <v>0</v>
      </c>
      <c r="E464" s="1519">
        <f>'Jrnl Rev'!$F469</f>
        <v>0</v>
      </c>
      <c r="F464" s="1519"/>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2">
      <c r="B465" s="146">
        <f>IF(AND('Jrnl Rev'!G470&lt;&gt;"",'Jrnl Rev'!C470&lt;&gt;""),1,0)</f>
        <v>0</v>
      </c>
      <c r="C465" s="146">
        <f>'Jrnl Rev'!$C470</f>
        <v>0</v>
      </c>
      <c r="D465" s="147">
        <f>'Jrnl Rev'!$D470</f>
        <v>0</v>
      </c>
      <c r="E465" s="1519">
        <f>'Jrnl Rev'!$F470</f>
        <v>0</v>
      </c>
      <c r="F465" s="1519"/>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2">
      <c r="B466" s="146">
        <f>IF(AND('Jrnl Rev'!G471&lt;&gt;"",'Jrnl Rev'!C471&lt;&gt;""),1,0)</f>
        <v>0</v>
      </c>
      <c r="C466" s="146">
        <f>'Jrnl Rev'!$C471</f>
        <v>0</v>
      </c>
      <c r="D466" s="147">
        <f>'Jrnl Rev'!$D471</f>
        <v>0</v>
      </c>
      <c r="E466" s="1519">
        <f>'Jrnl Rev'!$F471</f>
        <v>0</v>
      </c>
      <c r="F466" s="1519"/>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2">
      <c r="B467" s="146">
        <f>IF(AND('Jrnl Rev'!G472&lt;&gt;"",'Jrnl Rev'!C472&lt;&gt;""),1,0)</f>
        <v>0</v>
      </c>
      <c r="C467" s="146">
        <f>'Jrnl Rev'!$C472</f>
        <v>0</v>
      </c>
      <c r="D467" s="147">
        <f>'Jrnl Rev'!$D472</f>
        <v>0</v>
      </c>
      <c r="E467" s="1519">
        <f>'Jrnl Rev'!$F472</f>
        <v>0</v>
      </c>
      <c r="F467" s="1519"/>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2">
      <c r="B468" s="146">
        <f>IF(AND('Jrnl Rev'!G473&lt;&gt;"",'Jrnl Rev'!C473&lt;&gt;""),1,0)</f>
        <v>0</v>
      </c>
      <c r="C468" s="146">
        <f>'Jrnl Rev'!$C473</f>
        <v>0</v>
      </c>
      <c r="D468" s="147">
        <f>'Jrnl Rev'!$D473</f>
        <v>0</v>
      </c>
      <c r="E468" s="1519">
        <f>'Jrnl Rev'!$F473</f>
        <v>0</v>
      </c>
      <c r="F468" s="1519"/>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2">
      <c r="B469" s="146">
        <f>IF(AND('Jrnl Rev'!G474&lt;&gt;"",'Jrnl Rev'!C474&lt;&gt;""),1,0)</f>
        <v>0</v>
      </c>
      <c r="C469" s="146">
        <f>'Jrnl Rev'!$C474</f>
        <v>0</v>
      </c>
      <c r="D469" s="147">
        <f>'Jrnl Rev'!$D474</f>
        <v>0</v>
      </c>
      <c r="E469" s="1519">
        <f>'Jrnl Rev'!$F474</f>
        <v>0</v>
      </c>
      <c r="F469" s="1519"/>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2">
      <c r="B470" s="146">
        <f>IF(AND('Jrnl Rev'!G475&lt;&gt;"",'Jrnl Rev'!C475&lt;&gt;""),1,0)</f>
        <v>0</v>
      </c>
      <c r="C470" s="146">
        <f>'Jrnl Rev'!$C475</f>
        <v>0</v>
      </c>
      <c r="D470" s="147">
        <f>'Jrnl Rev'!$D475</f>
        <v>0</v>
      </c>
      <c r="E470" s="1519">
        <f>'Jrnl Rev'!$F475</f>
        <v>0</v>
      </c>
      <c r="F470" s="1519"/>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2">
      <c r="B471" s="146">
        <f>IF(AND('Jrnl Rev'!G476&lt;&gt;"",'Jrnl Rev'!C476&lt;&gt;""),1,0)</f>
        <v>0</v>
      </c>
      <c r="C471" s="146">
        <f>'Jrnl Rev'!$C476</f>
        <v>0</v>
      </c>
      <c r="D471" s="147">
        <f>'Jrnl Rev'!$D476</f>
        <v>0</v>
      </c>
      <c r="E471" s="1519">
        <f>'Jrnl Rev'!$F476</f>
        <v>0</v>
      </c>
      <c r="F471" s="1519"/>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2">
      <c r="B472" s="146">
        <f>IF(AND('Jrnl Rev'!G477&lt;&gt;"",'Jrnl Rev'!C477&lt;&gt;""),1,0)</f>
        <v>0</v>
      </c>
      <c r="C472" s="146">
        <f>'Jrnl Rev'!$C477</f>
        <v>0</v>
      </c>
      <c r="D472" s="147">
        <f>'Jrnl Rev'!$D477</f>
        <v>0</v>
      </c>
      <c r="E472" s="1519">
        <f>'Jrnl Rev'!$F477</f>
        <v>0</v>
      </c>
      <c r="F472" s="1519"/>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2">
      <c r="B473" s="146">
        <f>IF(AND('Jrnl Rev'!G478&lt;&gt;"",'Jrnl Rev'!C478&lt;&gt;""),1,0)</f>
        <v>0</v>
      </c>
      <c r="C473" s="146">
        <f>'Jrnl Rev'!$C478</f>
        <v>0</v>
      </c>
      <c r="D473" s="147">
        <f>'Jrnl Rev'!$D478</f>
        <v>0</v>
      </c>
      <c r="E473" s="1519">
        <f>'Jrnl Rev'!$F478</f>
        <v>0</v>
      </c>
      <c r="F473" s="1519"/>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2">
      <c r="B474" s="146">
        <f>IF(AND('Jrnl Rev'!G479&lt;&gt;"",'Jrnl Rev'!C479&lt;&gt;""),1,0)</f>
        <v>0</v>
      </c>
      <c r="C474" s="146">
        <f>'Jrnl Rev'!$C479</f>
        <v>0</v>
      </c>
      <c r="D474" s="147">
        <f>'Jrnl Rev'!$D479</f>
        <v>0</v>
      </c>
      <c r="E474" s="1519">
        <f>'Jrnl Rev'!$F479</f>
        <v>0</v>
      </c>
      <c r="F474" s="1519"/>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2">
      <c r="B475" s="146">
        <f>IF(AND('Jrnl Rev'!G480&lt;&gt;"",'Jrnl Rev'!C480&lt;&gt;""),1,0)</f>
        <v>0</v>
      </c>
      <c r="C475" s="146">
        <f>'Jrnl Rev'!$C480</f>
        <v>0</v>
      </c>
      <c r="D475" s="147">
        <f>'Jrnl Rev'!$D480</f>
        <v>0</v>
      </c>
      <c r="E475" s="1519">
        <f>'Jrnl Rev'!$F480</f>
        <v>0</v>
      </c>
      <c r="F475" s="1519"/>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2">
      <c r="B476" s="146">
        <f>IF(AND('Jrnl Rev'!G481&lt;&gt;"",'Jrnl Rev'!C481&lt;&gt;""),1,0)</f>
        <v>0</v>
      </c>
      <c r="C476" s="146">
        <f>'Jrnl Rev'!$C481</f>
        <v>0</v>
      </c>
      <c r="D476" s="147">
        <f>'Jrnl Rev'!$D481</f>
        <v>0</v>
      </c>
      <c r="E476" s="1519">
        <f>'Jrnl Rev'!$F481</f>
        <v>0</v>
      </c>
      <c r="F476" s="1519"/>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2">
      <c r="B477" s="146">
        <f>IF(AND('Jrnl Rev'!G482&lt;&gt;"",'Jrnl Rev'!C482&lt;&gt;""),1,0)</f>
        <v>0</v>
      </c>
      <c r="C477" s="146">
        <f>'Jrnl Rev'!$C482</f>
        <v>0</v>
      </c>
      <c r="D477" s="147">
        <f>'Jrnl Rev'!$D482</f>
        <v>0</v>
      </c>
      <c r="E477" s="1519">
        <f>'Jrnl Rev'!$F482</f>
        <v>0</v>
      </c>
      <c r="F477" s="1519"/>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2">
      <c r="B478" s="146">
        <f>IF(AND('Jrnl Rev'!G483&lt;&gt;"",'Jrnl Rev'!C483&lt;&gt;""),1,0)</f>
        <v>0</v>
      </c>
      <c r="C478" s="146">
        <f>'Jrnl Rev'!$C483</f>
        <v>0</v>
      </c>
      <c r="D478" s="147">
        <f>'Jrnl Rev'!$D483</f>
        <v>0</v>
      </c>
      <c r="E478" s="1519">
        <f>'Jrnl Rev'!$F483</f>
        <v>0</v>
      </c>
      <c r="F478" s="1519"/>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2">
      <c r="B479" s="146">
        <f>IF(AND('Jrnl Rev'!G484&lt;&gt;"",'Jrnl Rev'!C484&lt;&gt;""),1,0)</f>
        <v>0</v>
      </c>
      <c r="C479" s="146">
        <f>'Jrnl Rev'!$C484</f>
        <v>0</v>
      </c>
      <c r="D479" s="147">
        <f>'Jrnl Rev'!$D484</f>
        <v>0</v>
      </c>
      <c r="E479" s="1519">
        <f>'Jrnl Rev'!$F484</f>
        <v>0</v>
      </c>
      <c r="F479" s="1519"/>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2">
      <c r="B480" s="146">
        <f>IF(AND('Jrnl Rev'!G485&lt;&gt;"",'Jrnl Rev'!C485&lt;&gt;""),1,0)</f>
        <v>0</v>
      </c>
      <c r="C480" s="146">
        <f>'Jrnl Rev'!$C485</f>
        <v>0</v>
      </c>
      <c r="D480" s="147">
        <f>'Jrnl Rev'!$D485</f>
        <v>0</v>
      </c>
      <c r="E480" s="1519">
        <f>'Jrnl Rev'!$F485</f>
        <v>0</v>
      </c>
      <c r="F480" s="1519"/>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2">
      <c r="B481" s="146">
        <f>IF(AND('Jrnl Rev'!G486&lt;&gt;"",'Jrnl Rev'!C486&lt;&gt;""),1,0)</f>
        <v>0</v>
      </c>
      <c r="C481" s="146">
        <f>'Jrnl Rev'!$C486</f>
        <v>0</v>
      </c>
      <c r="D481" s="147">
        <f>'Jrnl Rev'!$D486</f>
        <v>0</v>
      </c>
      <c r="E481" s="1519">
        <f>'Jrnl Rev'!$F486</f>
        <v>0</v>
      </c>
      <c r="F481" s="1519"/>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2">
      <c r="B482" s="146">
        <f>IF(AND('Jrnl Rev'!G487&lt;&gt;"",'Jrnl Rev'!C487&lt;&gt;""),1,0)</f>
        <v>0</v>
      </c>
      <c r="C482" s="146">
        <f>'Jrnl Rev'!$C487</f>
        <v>0</v>
      </c>
      <c r="D482" s="147">
        <f>'Jrnl Rev'!$D487</f>
        <v>0</v>
      </c>
      <c r="E482" s="1519">
        <f>'Jrnl Rev'!$F487</f>
        <v>0</v>
      </c>
      <c r="F482" s="1519"/>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2">
      <c r="B483" s="146">
        <f>IF(AND('Jrnl Rev'!G488&lt;&gt;"",'Jrnl Rev'!C488&lt;&gt;""),1,0)</f>
        <v>0</v>
      </c>
      <c r="C483" s="146">
        <f>'Jrnl Rev'!$C488</f>
        <v>0</v>
      </c>
      <c r="D483" s="147">
        <f>'Jrnl Rev'!$D488</f>
        <v>0</v>
      </c>
      <c r="E483" s="1519">
        <f>'Jrnl Rev'!$F488</f>
        <v>0</v>
      </c>
      <c r="F483" s="1519"/>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2">
      <c r="B484" s="146">
        <f>IF(AND('Jrnl Rev'!G489&lt;&gt;"",'Jrnl Rev'!C489&lt;&gt;""),1,0)</f>
        <v>0</v>
      </c>
      <c r="C484" s="146">
        <f>'Jrnl Rev'!$C489</f>
        <v>0</v>
      </c>
      <c r="D484" s="147">
        <f>'Jrnl Rev'!$D489</f>
        <v>0</v>
      </c>
      <c r="E484" s="1519">
        <f>'Jrnl Rev'!$F489</f>
        <v>0</v>
      </c>
      <c r="F484" s="1519"/>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2">
      <c r="B485" s="146">
        <f>IF(AND('Jrnl Rev'!G490&lt;&gt;"",'Jrnl Rev'!C490&lt;&gt;""),1,0)</f>
        <v>0</v>
      </c>
      <c r="C485" s="146">
        <f>'Jrnl Rev'!$C490</f>
        <v>0</v>
      </c>
      <c r="D485" s="147">
        <f>'Jrnl Rev'!$D490</f>
        <v>0</v>
      </c>
      <c r="E485" s="1519">
        <f>'Jrnl Rev'!$F490</f>
        <v>0</v>
      </c>
      <c r="F485" s="1519"/>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2">
      <c r="B486" s="146">
        <f>IF(AND('Jrnl Rev'!G491&lt;&gt;"",'Jrnl Rev'!C491&lt;&gt;""),1,0)</f>
        <v>0</v>
      </c>
      <c r="C486" s="146">
        <f>'Jrnl Rev'!$C491</f>
        <v>0</v>
      </c>
      <c r="D486" s="147">
        <f>'Jrnl Rev'!$D491</f>
        <v>0</v>
      </c>
      <c r="E486" s="1519">
        <f>'Jrnl Rev'!$F491</f>
        <v>0</v>
      </c>
      <c r="F486" s="1519"/>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2">
      <c r="B487" s="146">
        <f>IF(AND('Jrnl Rev'!G492&lt;&gt;"",'Jrnl Rev'!C492&lt;&gt;""),1,0)</f>
        <v>0</v>
      </c>
      <c r="C487" s="146">
        <f>'Jrnl Rev'!$C492</f>
        <v>0</v>
      </c>
      <c r="D487" s="147">
        <f>'Jrnl Rev'!$D492</f>
        <v>0</v>
      </c>
      <c r="E487" s="1519">
        <f>'Jrnl Rev'!$F492</f>
        <v>0</v>
      </c>
      <c r="F487" s="1519"/>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2">
      <c r="B488" s="146">
        <f>IF(AND('Jrnl Rev'!G493&lt;&gt;"",'Jrnl Rev'!C493&lt;&gt;""),1,0)</f>
        <v>0</v>
      </c>
      <c r="C488" s="146">
        <f>'Jrnl Rev'!$C493</f>
        <v>0</v>
      </c>
      <c r="D488" s="147">
        <f>'Jrnl Rev'!$D493</f>
        <v>0</v>
      </c>
      <c r="E488" s="1519">
        <f>'Jrnl Rev'!$F493</f>
        <v>0</v>
      </c>
      <c r="F488" s="1519"/>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2">
      <c r="B489" s="146">
        <f>IF(AND('Jrnl Rev'!G494&lt;&gt;"",'Jrnl Rev'!C494&lt;&gt;""),1,0)</f>
        <v>0</v>
      </c>
      <c r="C489" s="146">
        <f>'Jrnl Rev'!$C494</f>
        <v>0</v>
      </c>
      <c r="D489" s="147">
        <f>'Jrnl Rev'!$D494</f>
        <v>0</v>
      </c>
      <c r="E489" s="1519">
        <f>'Jrnl Rev'!$F494</f>
        <v>0</v>
      </c>
      <c r="F489" s="1519"/>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2">
      <c r="B490" s="146">
        <f>IF(AND('Jrnl Rev'!G495&lt;&gt;"",'Jrnl Rev'!C495&lt;&gt;""),1,0)</f>
        <v>0</v>
      </c>
      <c r="C490" s="146">
        <f>'Jrnl Rev'!$C495</f>
        <v>0</v>
      </c>
      <c r="D490" s="147">
        <f>'Jrnl Rev'!$D495</f>
        <v>0</v>
      </c>
      <c r="E490" s="1519">
        <f>'Jrnl Rev'!$F495</f>
        <v>0</v>
      </c>
      <c r="F490" s="1519"/>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2">
      <c r="B491" s="146">
        <f>IF(AND('Jrnl Rev'!G496&lt;&gt;"",'Jrnl Rev'!C496&lt;&gt;""),1,0)</f>
        <v>0</v>
      </c>
      <c r="C491" s="146">
        <f>'Jrnl Rev'!$C496</f>
        <v>0</v>
      </c>
      <c r="D491" s="147">
        <f>'Jrnl Rev'!$D496</f>
        <v>0</v>
      </c>
      <c r="E491" s="1519">
        <f>'Jrnl Rev'!$F496</f>
        <v>0</v>
      </c>
      <c r="F491" s="1519"/>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2">
      <c r="B492" s="146">
        <f>IF(AND('Jrnl Rev'!G497&lt;&gt;"",'Jrnl Rev'!C497&lt;&gt;""),1,0)</f>
        <v>0</v>
      </c>
      <c r="C492" s="146">
        <f>'Jrnl Rev'!$C497</f>
        <v>0</v>
      </c>
      <c r="D492" s="147">
        <f>'Jrnl Rev'!$D497</f>
        <v>0</v>
      </c>
      <c r="E492" s="1519">
        <f>'Jrnl Rev'!$F497</f>
        <v>0</v>
      </c>
      <c r="F492" s="1519"/>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2">
      <c r="B493" s="146">
        <f>IF(AND('Jrnl Rev'!G498&lt;&gt;"",'Jrnl Rev'!C498&lt;&gt;""),1,0)</f>
        <v>0</v>
      </c>
      <c r="C493" s="146">
        <f>'Jrnl Rev'!$C498</f>
        <v>0</v>
      </c>
      <c r="D493" s="147">
        <f>'Jrnl Rev'!$D498</f>
        <v>0</v>
      </c>
      <c r="E493" s="1519">
        <f>'Jrnl Rev'!$F498</f>
        <v>0</v>
      </c>
      <c r="F493" s="1519"/>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2">
      <c r="B494" s="146">
        <f>IF(AND('Jrnl Rev'!G499&lt;&gt;"",'Jrnl Rev'!C499&lt;&gt;""),1,0)</f>
        <v>0</v>
      </c>
      <c r="C494" s="146">
        <f>'Jrnl Rev'!$C499</f>
        <v>0</v>
      </c>
      <c r="D494" s="147">
        <f>'Jrnl Rev'!$D499</f>
        <v>0</v>
      </c>
      <c r="E494" s="1519">
        <f>'Jrnl Rev'!$F499</f>
        <v>0</v>
      </c>
      <c r="F494" s="1519"/>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2">
      <c r="B495" s="146">
        <f>IF(AND('Jrnl Rev'!G500&lt;&gt;"",'Jrnl Rev'!C500&lt;&gt;""),1,0)</f>
        <v>0</v>
      </c>
      <c r="C495" s="146">
        <f>'Jrnl Rev'!$C500</f>
        <v>0</v>
      </c>
      <c r="D495" s="147">
        <f>'Jrnl Rev'!$D500</f>
        <v>0</v>
      </c>
      <c r="E495" s="1519">
        <f>'Jrnl Rev'!$F500</f>
        <v>0</v>
      </c>
      <c r="F495" s="1519"/>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2">
      <c r="B496" s="146">
        <f>IF(AND('Jrnl Rev'!G501&lt;&gt;"",'Jrnl Rev'!C501&lt;&gt;""),1,0)</f>
        <v>0</v>
      </c>
      <c r="C496" s="146">
        <f>'Jrnl Rev'!$C501</f>
        <v>0</v>
      </c>
      <c r="D496" s="147">
        <f>'Jrnl Rev'!$D501</f>
        <v>0</v>
      </c>
      <c r="E496" s="1519">
        <f>'Jrnl Rev'!$F501</f>
        <v>0</v>
      </c>
      <c r="F496" s="1519"/>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2">
      <c r="B497" s="146">
        <f>IF(AND('Jrnl Rev'!G502&lt;&gt;"",'Jrnl Rev'!C502&lt;&gt;""),1,0)</f>
        <v>0</v>
      </c>
      <c r="C497" s="146">
        <f>'Jrnl Rev'!$C502</f>
        <v>0</v>
      </c>
      <c r="D497" s="147">
        <f>'Jrnl Rev'!$D502</f>
        <v>0</v>
      </c>
      <c r="E497" s="1519">
        <f>'Jrnl Rev'!$F502</f>
        <v>0</v>
      </c>
      <c r="F497" s="1519"/>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2">
      <c r="B498" s="146">
        <f>IF(AND('Jrnl Rev'!G503&lt;&gt;"",'Jrnl Rev'!C503&lt;&gt;""),1,0)</f>
        <v>0</v>
      </c>
      <c r="C498" s="146">
        <f>'Jrnl Rev'!$C503</f>
        <v>0</v>
      </c>
      <c r="D498" s="147">
        <f>'Jrnl Rev'!$D503</f>
        <v>0</v>
      </c>
      <c r="E498" s="1519">
        <f>'Jrnl Rev'!$F503</f>
        <v>0</v>
      </c>
      <c r="F498" s="1519"/>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2">
      <c r="B499" s="146">
        <f>IF(AND('Jrnl Rev'!G504&lt;&gt;"",'Jrnl Rev'!C504&lt;&gt;""),1,0)</f>
        <v>0</v>
      </c>
      <c r="C499" s="146">
        <f>'Jrnl Rev'!$C504</f>
        <v>0</v>
      </c>
      <c r="D499" s="147">
        <f>'Jrnl Rev'!$D504</f>
        <v>0</v>
      </c>
      <c r="E499" s="1519">
        <f>'Jrnl Rev'!$F504</f>
        <v>0</v>
      </c>
      <c r="F499" s="1519"/>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2">
      <c r="B500" s="146">
        <f>IF(AND('Jrnl Rev'!G505&lt;&gt;"",'Jrnl Rev'!C505&lt;&gt;""),1,0)</f>
        <v>0</v>
      </c>
      <c r="C500" s="146">
        <f>'Jrnl Rev'!$C505</f>
        <v>0</v>
      </c>
      <c r="D500" s="147">
        <f>'Jrnl Rev'!$D505</f>
        <v>0</v>
      </c>
      <c r="E500" s="1519">
        <f>'Jrnl Rev'!$F505</f>
        <v>0</v>
      </c>
      <c r="F500" s="1519"/>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2">
      <c r="B501" s="146">
        <f>IF(AND('Jrnl Rev'!G506&lt;&gt;"",'Jrnl Rev'!C506&lt;&gt;""),1,0)</f>
        <v>0</v>
      </c>
      <c r="C501" s="146">
        <f>'Jrnl Rev'!$C506</f>
        <v>0</v>
      </c>
      <c r="D501" s="147">
        <f>'Jrnl Rev'!$D506</f>
        <v>0</v>
      </c>
      <c r="E501" s="1519">
        <f>'Jrnl Rev'!$F506</f>
        <v>0</v>
      </c>
      <c r="F501" s="1519"/>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2">
      <c r="B502" s="146">
        <f>IF(AND('Jrnl Rev'!G507&lt;&gt;"",'Jrnl Rev'!C507&lt;&gt;""),1,0)</f>
        <v>0</v>
      </c>
      <c r="C502" s="146">
        <f>'Jrnl Rev'!$C507</f>
        <v>0</v>
      </c>
      <c r="D502" s="147">
        <f>'Jrnl Rev'!$D507</f>
        <v>0</v>
      </c>
      <c r="E502" s="1519">
        <f>'Jrnl Rev'!$F507</f>
        <v>0</v>
      </c>
      <c r="F502" s="1519"/>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2">
      <c r="B503" s="146">
        <f>IF(AND('Jrnl Rev'!G508&lt;&gt;"",'Jrnl Rev'!C508&lt;&gt;""),1,0)</f>
        <v>0</v>
      </c>
      <c r="C503" s="146">
        <f>'Jrnl Rev'!$C508</f>
        <v>0</v>
      </c>
      <c r="D503" s="147">
        <f>'Jrnl Rev'!$D508</f>
        <v>0</v>
      </c>
      <c r="E503" s="1519">
        <f>'Jrnl Rev'!$F508</f>
        <v>0</v>
      </c>
      <c r="F503" s="1519"/>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2">
      <c r="B504" s="146">
        <f>IF(AND('Jrnl Rev'!G509&lt;&gt;"",'Jrnl Rev'!C509&lt;&gt;""),1,0)</f>
        <v>0</v>
      </c>
      <c r="C504" s="146">
        <f>'Jrnl Rev'!$C509</f>
        <v>0</v>
      </c>
      <c r="D504" s="147">
        <f>'Jrnl Rev'!$D509</f>
        <v>0</v>
      </c>
      <c r="E504" s="1519">
        <f>'Jrnl Rev'!$F509</f>
        <v>0</v>
      </c>
      <c r="F504" s="1519"/>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2">
      <c r="B505" s="146">
        <f>IF(AND('Jrnl Rev'!G510&lt;&gt;"",'Jrnl Rev'!C510&lt;&gt;""),1,0)</f>
        <v>0</v>
      </c>
      <c r="C505" s="146">
        <f>'Jrnl Rev'!$C510</f>
        <v>0</v>
      </c>
      <c r="D505" s="147">
        <f>'Jrnl Rev'!$D510</f>
        <v>0</v>
      </c>
      <c r="E505" s="1519">
        <f>'Jrnl Rev'!$F510</f>
        <v>0</v>
      </c>
      <c r="F505" s="1519"/>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2">
      <c r="B506" s="146">
        <f>IF(AND('Jrnl Rev'!G511&lt;&gt;"",'Jrnl Rev'!C511&lt;&gt;""),1,0)</f>
        <v>0</v>
      </c>
      <c r="C506" s="146">
        <f>'Jrnl Rev'!$C511</f>
        <v>0</v>
      </c>
      <c r="D506" s="147">
        <f>'Jrnl Rev'!$D511</f>
        <v>0</v>
      </c>
      <c r="E506" s="1519">
        <f>'Jrnl Rev'!$F511</f>
        <v>0</v>
      </c>
      <c r="F506" s="1519"/>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2">
      <c r="B507" s="146">
        <f>IF(AND('Jrnl Rev'!G512&lt;&gt;"",'Jrnl Rev'!C512&lt;&gt;""),1,0)</f>
        <v>0</v>
      </c>
      <c r="C507" s="146">
        <f>'Jrnl Rev'!$C512</f>
        <v>0</v>
      </c>
      <c r="D507" s="147">
        <f>'Jrnl Rev'!$D512</f>
        <v>0</v>
      </c>
      <c r="E507" s="1519">
        <f>'Jrnl Rev'!$F512</f>
        <v>0</v>
      </c>
      <c r="F507" s="1519"/>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2">
      <c r="B508" s="146">
        <f>IF(AND('Jrnl Rev'!G513&lt;&gt;"",'Jrnl Rev'!C513&lt;&gt;""),1,0)</f>
        <v>0</v>
      </c>
      <c r="C508" s="146">
        <f>'Jrnl Rev'!$C513</f>
        <v>0</v>
      </c>
      <c r="D508" s="147">
        <f>'Jrnl Rev'!$D513</f>
        <v>0</v>
      </c>
      <c r="E508" s="1519">
        <f>'Jrnl Rev'!$F513</f>
        <v>0</v>
      </c>
      <c r="F508" s="1519"/>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2">
      <c r="B509" s="146">
        <f>IF(AND('Jrnl Rev'!G514&lt;&gt;"",'Jrnl Rev'!C514&lt;&gt;""),1,0)</f>
        <v>0</v>
      </c>
      <c r="C509" s="146">
        <f>'Jrnl Rev'!$C514</f>
        <v>0</v>
      </c>
      <c r="D509" s="147">
        <f>'Jrnl Rev'!$D514</f>
        <v>0</v>
      </c>
      <c r="E509" s="1519">
        <f>'Jrnl Rev'!$F514</f>
        <v>0</v>
      </c>
      <c r="F509" s="1519"/>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2">
      <c r="B510" s="146">
        <f>IF(AND('Jrnl Rev'!G515&lt;&gt;"",'Jrnl Rev'!C515&lt;&gt;""),1,0)</f>
        <v>0</v>
      </c>
      <c r="C510" s="146">
        <f>'Jrnl Rev'!$C515</f>
        <v>0</v>
      </c>
      <c r="D510" s="147">
        <f>'Jrnl Rev'!$D515</f>
        <v>0</v>
      </c>
      <c r="E510" s="1519">
        <f>'Jrnl Rev'!$F515</f>
        <v>0</v>
      </c>
      <c r="F510" s="1519"/>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2">
      <c r="B511" s="156">
        <v>1</v>
      </c>
      <c r="C511" s="157" t="s">
        <v>89</v>
      </c>
      <c r="D511" s="158"/>
      <c r="E511" s="159"/>
      <c r="F511" s="159"/>
      <c r="G511" s="160"/>
      <c r="H511" s="158"/>
      <c r="I511" s="158"/>
      <c r="J511" s="158"/>
      <c r="K511" s="161"/>
      <c r="L511" s="162"/>
      <c r="M511" s="163"/>
      <c r="N511" s="152"/>
    </row>
    <row r="512" spans="2:14" s="1" customFormat="1" ht="30" customHeight="1" x14ac:dyDescent="0.2">
      <c r="B512" s="146">
        <v>1</v>
      </c>
      <c r="C512" s="164" t="s">
        <v>89</v>
      </c>
      <c r="D512" s="141" t="str">
        <f>IF(A3=2,"DÉPENSES","EXPENSES")</f>
        <v>EXPENSES</v>
      </c>
      <c r="E512" s="141"/>
      <c r="F512" s="142"/>
      <c r="G512" s="165"/>
      <c r="H512" s="165"/>
      <c r="I512" s="165"/>
      <c r="J512" s="165"/>
      <c r="K512" s="141"/>
      <c r="L512" s="166"/>
      <c r="M512" s="151"/>
      <c r="N512" s="167"/>
    </row>
    <row r="513" spans="2:14" s="1" customFormat="1" ht="30" hidden="1" customHeight="1" x14ac:dyDescent="0.2">
      <c r="B513" s="146">
        <f>IF(AND('Jrnl Exp ~ Dép'!$G16&lt;&gt;"",'Jrnl Exp ~ Dép'!$C16&lt;&gt;""),1,0)</f>
        <v>0</v>
      </c>
      <c r="C513" s="146">
        <f>'Jrnl Exp ~ Dép'!$C16</f>
        <v>0</v>
      </c>
      <c r="D513" s="168">
        <f>'Jrnl Exp ~ Dép'!$D16</f>
        <v>0</v>
      </c>
      <c r="E513" s="1519">
        <f>'Jrnl Exp ~ Dép'!$F16</f>
        <v>0</v>
      </c>
      <c r="F513" s="1519"/>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2">
      <c r="B514" s="146">
        <f>IF(AND('Jrnl Exp ~ Dép'!$G17&lt;&gt;"",'Jrnl Exp ~ Dép'!$C17&lt;&gt;""),1,0)</f>
        <v>0</v>
      </c>
      <c r="C514" s="146">
        <f>'Jrnl Exp ~ Dép'!$C17</f>
        <v>0</v>
      </c>
      <c r="D514" s="168">
        <f>'Jrnl Exp ~ Dép'!$D17</f>
        <v>0</v>
      </c>
      <c r="E514" s="1519">
        <f>'Jrnl Exp ~ Dép'!$F17</f>
        <v>0</v>
      </c>
      <c r="F514" s="1519"/>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2">
      <c r="B515" s="146">
        <f>IF(AND('Jrnl Exp ~ Dép'!$G18&lt;&gt;"",'Jrnl Exp ~ Dép'!$C18&lt;&gt;""),1,0)</f>
        <v>0</v>
      </c>
      <c r="C515" s="146">
        <f>'Jrnl Exp ~ Dép'!$C18</f>
        <v>0</v>
      </c>
      <c r="D515" s="168">
        <f>'Jrnl Exp ~ Dép'!$D18</f>
        <v>0</v>
      </c>
      <c r="E515" s="1519">
        <f>'Jrnl Exp ~ Dép'!$F18</f>
        <v>0</v>
      </c>
      <c r="F515" s="1519"/>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2">
      <c r="B516" s="146">
        <f>IF(AND('Jrnl Exp ~ Dép'!$G19&lt;&gt;"",'Jrnl Exp ~ Dép'!$C19&lt;&gt;""),1,0)</f>
        <v>0</v>
      </c>
      <c r="C516" s="146">
        <f>'Jrnl Exp ~ Dép'!$C19</f>
        <v>0</v>
      </c>
      <c r="D516" s="168">
        <f>'Jrnl Exp ~ Dép'!$D19</f>
        <v>0</v>
      </c>
      <c r="E516" s="1519">
        <f>'Jrnl Exp ~ Dép'!$F19</f>
        <v>0</v>
      </c>
      <c r="F516" s="1519"/>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2">
      <c r="B517" s="146">
        <f>IF(AND('Jrnl Exp ~ Dép'!$G20&lt;&gt;"",'Jrnl Exp ~ Dép'!$C20&lt;&gt;""),1,0)</f>
        <v>0</v>
      </c>
      <c r="C517" s="146">
        <f>'Jrnl Exp ~ Dép'!$C20</f>
        <v>0</v>
      </c>
      <c r="D517" s="168">
        <f>'Jrnl Exp ~ Dép'!$D20</f>
        <v>0</v>
      </c>
      <c r="E517" s="1519">
        <f>'Jrnl Exp ~ Dép'!$F20</f>
        <v>0</v>
      </c>
      <c r="F517" s="1519"/>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2">
      <c r="B518" s="146">
        <f>IF(AND('Jrnl Exp ~ Dép'!$G21&lt;&gt;"",'Jrnl Exp ~ Dép'!$C21&lt;&gt;""),1,0)</f>
        <v>0</v>
      </c>
      <c r="C518" s="146">
        <f>'Jrnl Exp ~ Dép'!$C21</f>
        <v>0</v>
      </c>
      <c r="D518" s="168">
        <f>'Jrnl Exp ~ Dép'!$D21</f>
        <v>0</v>
      </c>
      <c r="E518" s="1519">
        <f>'Jrnl Exp ~ Dép'!$F21</f>
        <v>0</v>
      </c>
      <c r="F518" s="1519"/>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2">
      <c r="B519" s="146">
        <f>IF(AND('Jrnl Exp ~ Dép'!$G22&lt;&gt;"",'Jrnl Exp ~ Dép'!$C22&lt;&gt;""),1,0)</f>
        <v>0</v>
      </c>
      <c r="C519" s="146">
        <f>'Jrnl Exp ~ Dép'!$C22</f>
        <v>0</v>
      </c>
      <c r="D519" s="168">
        <f>'Jrnl Exp ~ Dép'!$D22</f>
        <v>0</v>
      </c>
      <c r="E519" s="1519">
        <f>'Jrnl Exp ~ Dép'!$F22</f>
        <v>0</v>
      </c>
      <c r="F519" s="1519"/>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2">
      <c r="B520" s="146">
        <f>IF(AND('Jrnl Exp ~ Dép'!$G23&lt;&gt;"",'Jrnl Exp ~ Dép'!$C23&lt;&gt;""),1,0)</f>
        <v>0</v>
      </c>
      <c r="C520" s="146">
        <f>'Jrnl Exp ~ Dép'!$C23</f>
        <v>0</v>
      </c>
      <c r="D520" s="168">
        <f>'Jrnl Exp ~ Dép'!$D23</f>
        <v>0</v>
      </c>
      <c r="E520" s="1519">
        <f>'Jrnl Exp ~ Dép'!$F23</f>
        <v>0</v>
      </c>
      <c r="F520" s="1519"/>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2">
      <c r="B521" s="146">
        <f>IF(AND('Jrnl Exp ~ Dép'!$G24&lt;&gt;"",'Jrnl Exp ~ Dép'!$C24&lt;&gt;""),1,0)</f>
        <v>0</v>
      </c>
      <c r="C521" s="146">
        <f>'Jrnl Exp ~ Dép'!$C24</f>
        <v>0</v>
      </c>
      <c r="D521" s="168">
        <f>'Jrnl Exp ~ Dép'!$D24</f>
        <v>0</v>
      </c>
      <c r="E521" s="1519">
        <f>'Jrnl Exp ~ Dép'!$F24</f>
        <v>0</v>
      </c>
      <c r="F521" s="1519"/>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2">
      <c r="B522" s="146">
        <f>IF(AND('Jrnl Exp ~ Dép'!$G25&lt;&gt;"",'Jrnl Exp ~ Dép'!$C25&lt;&gt;""),1,0)</f>
        <v>0</v>
      </c>
      <c r="C522" s="146">
        <f>'Jrnl Exp ~ Dép'!$C25</f>
        <v>0</v>
      </c>
      <c r="D522" s="168">
        <f>'Jrnl Exp ~ Dép'!$D25</f>
        <v>0</v>
      </c>
      <c r="E522" s="1519">
        <f>'Jrnl Exp ~ Dép'!$F25</f>
        <v>0</v>
      </c>
      <c r="F522" s="1519"/>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2">
      <c r="B523" s="146">
        <f>IF(AND('Jrnl Exp ~ Dép'!$G26&lt;&gt;"",'Jrnl Exp ~ Dép'!$C26&lt;&gt;""),1,0)</f>
        <v>0</v>
      </c>
      <c r="C523" s="146">
        <f>'Jrnl Exp ~ Dép'!$C26</f>
        <v>0</v>
      </c>
      <c r="D523" s="168">
        <f>'Jrnl Exp ~ Dép'!$D26</f>
        <v>0</v>
      </c>
      <c r="E523" s="1519">
        <f>'Jrnl Exp ~ Dép'!$F26</f>
        <v>0</v>
      </c>
      <c r="F523" s="1519"/>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2">
      <c r="B524" s="146">
        <f>IF(AND('Jrnl Exp ~ Dép'!$G27&lt;&gt;"",'Jrnl Exp ~ Dép'!$C27&lt;&gt;""),1,0)</f>
        <v>0</v>
      </c>
      <c r="C524" s="146">
        <f>'Jrnl Exp ~ Dép'!$C27</f>
        <v>0</v>
      </c>
      <c r="D524" s="168">
        <f>'Jrnl Exp ~ Dép'!$D27</f>
        <v>0</v>
      </c>
      <c r="E524" s="1519">
        <f>'Jrnl Exp ~ Dép'!$F27</f>
        <v>0</v>
      </c>
      <c r="F524" s="1519"/>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2">
      <c r="B525" s="146">
        <f>IF(AND('Jrnl Exp ~ Dép'!$G28&lt;&gt;"",'Jrnl Exp ~ Dép'!$C28&lt;&gt;""),1,0)</f>
        <v>0</v>
      </c>
      <c r="C525" s="146">
        <f>'Jrnl Exp ~ Dép'!$C28</f>
        <v>0</v>
      </c>
      <c r="D525" s="168">
        <f>'Jrnl Exp ~ Dép'!$D28</f>
        <v>0</v>
      </c>
      <c r="E525" s="1519">
        <f>'Jrnl Exp ~ Dép'!$F28</f>
        <v>0</v>
      </c>
      <c r="F525" s="1519"/>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2">
      <c r="B526" s="146">
        <f>IF(AND('Jrnl Exp ~ Dép'!$G29&lt;&gt;"",'Jrnl Exp ~ Dép'!$C29&lt;&gt;""),1,0)</f>
        <v>0</v>
      </c>
      <c r="C526" s="146">
        <f>'Jrnl Exp ~ Dép'!$C29</f>
        <v>0</v>
      </c>
      <c r="D526" s="168">
        <f>'Jrnl Exp ~ Dép'!$D29</f>
        <v>0</v>
      </c>
      <c r="E526" s="1519">
        <f>'Jrnl Exp ~ Dép'!$F29</f>
        <v>0</v>
      </c>
      <c r="F526" s="1519"/>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2">
      <c r="B527" s="146">
        <f>IF(AND('Jrnl Exp ~ Dép'!$G30&lt;&gt;"",'Jrnl Exp ~ Dép'!$C30&lt;&gt;""),1,0)</f>
        <v>0</v>
      </c>
      <c r="C527" s="146">
        <f>'Jrnl Exp ~ Dép'!$C30</f>
        <v>0</v>
      </c>
      <c r="D527" s="168">
        <f>'Jrnl Exp ~ Dép'!$D30</f>
        <v>0</v>
      </c>
      <c r="E527" s="1519">
        <f>'Jrnl Exp ~ Dép'!$F30</f>
        <v>0</v>
      </c>
      <c r="F527" s="1519"/>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2">
      <c r="B528" s="146">
        <f>IF(AND('Jrnl Exp ~ Dép'!$G31&lt;&gt;"",'Jrnl Exp ~ Dép'!$C31&lt;&gt;""),1,0)</f>
        <v>0</v>
      </c>
      <c r="C528" s="146">
        <f>'Jrnl Exp ~ Dép'!$C31</f>
        <v>0</v>
      </c>
      <c r="D528" s="168">
        <f>'Jrnl Exp ~ Dép'!$D31</f>
        <v>0</v>
      </c>
      <c r="E528" s="1519">
        <f>'Jrnl Exp ~ Dép'!$F31</f>
        <v>0</v>
      </c>
      <c r="F528" s="1519"/>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2">
      <c r="B529" s="146">
        <f>IF(AND('Jrnl Exp ~ Dép'!$G32&lt;&gt;"",'Jrnl Exp ~ Dép'!$C32&lt;&gt;""),1,0)</f>
        <v>0</v>
      </c>
      <c r="C529" s="146">
        <f>'Jrnl Exp ~ Dép'!$C32</f>
        <v>0</v>
      </c>
      <c r="D529" s="168">
        <f>'Jrnl Exp ~ Dép'!$D32</f>
        <v>0</v>
      </c>
      <c r="E529" s="1519">
        <f>'Jrnl Exp ~ Dép'!$F32</f>
        <v>0</v>
      </c>
      <c r="F529" s="1519"/>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2">
      <c r="B530" s="146">
        <f>IF(AND('Jrnl Exp ~ Dép'!$G33&lt;&gt;"",'Jrnl Exp ~ Dép'!$C33&lt;&gt;""),1,0)</f>
        <v>0</v>
      </c>
      <c r="C530" s="146">
        <f>'Jrnl Exp ~ Dép'!$C33</f>
        <v>0</v>
      </c>
      <c r="D530" s="168">
        <f>'Jrnl Exp ~ Dép'!$D33</f>
        <v>0</v>
      </c>
      <c r="E530" s="1519">
        <f>'Jrnl Exp ~ Dép'!$F33</f>
        <v>0</v>
      </c>
      <c r="F530" s="1519"/>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2">
      <c r="B531" s="146">
        <f>IF(AND('Jrnl Exp ~ Dép'!$G34&lt;&gt;"",'Jrnl Exp ~ Dép'!$C34&lt;&gt;""),1,0)</f>
        <v>0</v>
      </c>
      <c r="C531" s="146">
        <f>'Jrnl Exp ~ Dép'!$C34</f>
        <v>0</v>
      </c>
      <c r="D531" s="168">
        <f>'Jrnl Exp ~ Dép'!$D34</f>
        <v>0</v>
      </c>
      <c r="E531" s="1519">
        <f>'Jrnl Exp ~ Dép'!$F34</f>
        <v>0</v>
      </c>
      <c r="F531" s="1519"/>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2">
      <c r="B532" s="146">
        <f>IF(AND('Jrnl Exp ~ Dép'!$G35&lt;&gt;"",'Jrnl Exp ~ Dép'!$C35&lt;&gt;""),1,0)</f>
        <v>0</v>
      </c>
      <c r="C532" s="146">
        <f>'Jrnl Exp ~ Dép'!$C35</f>
        <v>0</v>
      </c>
      <c r="D532" s="168">
        <f>'Jrnl Exp ~ Dép'!$D35</f>
        <v>0</v>
      </c>
      <c r="E532" s="1519">
        <f>'Jrnl Exp ~ Dép'!$F35</f>
        <v>0</v>
      </c>
      <c r="F532" s="1519"/>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2">
      <c r="B533" s="146">
        <f>IF(AND('Jrnl Exp ~ Dép'!$G36&lt;&gt;"",'Jrnl Exp ~ Dép'!$C36&lt;&gt;""),1,0)</f>
        <v>0</v>
      </c>
      <c r="C533" s="146">
        <f>'Jrnl Exp ~ Dép'!$C36</f>
        <v>0</v>
      </c>
      <c r="D533" s="168">
        <f>'Jrnl Exp ~ Dép'!$D36</f>
        <v>0</v>
      </c>
      <c r="E533" s="1519">
        <f>'Jrnl Exp ~ Dép'!$F36</f>
        <v>0</v>
      </c>
      <c r="F533" s="1519"/>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2">
      <c r="B534" s="146">
        <f>IF(AND('Jrnl Exp ~ Dép'!$G37&lt;&gt;"",'Jrnl Exp ~ Dép'!$C37&lt;&gt;""),1,0)</f>
        <v>0</v>
      </c>
      <c r="C534" s="146">
        <f>'Jrnl Exp ~ Dép'!$C37</f>
        <v>0</v>
      </c>
      <c r="D534" s="168">
        <f>'Jrnl Exp ~ Dép'!$D37</f>
        <v>0</v>
      </c>
      <c r="E534" s="1519">
        <f>'Jrnl Exp ~ Dép'!$F37</f>
        <v>0</v>
      </c>
      <c r="F534" s="1519"/>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2">
      <c r="B535" s="146">
        <f>IF(AND('Jrnl Exp ~ Dép'!$G38&lt;&gt;"",'Jrnl Exp ~ Dép'!$C38&lt;&gt;""),1,0)</f>
        <v>0</v>
      </c>
      <c r="C535" s="146">
        <f>'Jrnl Exp ~ Dép'!$C38</f>
        <v>0</v>
      </c>
      <c r="D535" s="168">
        <f>'Jrnl Exp ~ Dép'!$D38</f>
        <v>0</v>
      </c>
      <c r="E535" s="1519">
        <f>'Jrnl Exp ~ Dép'!$F38</f>
        <v>0</v>
      </c>
      <c r="F535" s="1519"/>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2">
      <c r="B536" s="146">
        <f>IF(AND('Jrnl Exp ~ Dép'!$G39&lt;&gt;"",'Jrnl Exp ~ Dép'!$C39&lt;&gt;""),1,0)</f>
        <v>0</v>
      </c>
      <c r="C536" s="146">
        <f>'Jrnl Exp ~ Dép'!$C39</f>
        <v>0</v>
      </c>
      <c r="D536" s="168">
        <f>'Jrnl Exp ~ Dép'!$D39</f>
        <v>0</v>
      </c>
      <c r="E536" s="1519">
        <f>'Jrnl Exp ~ Dép'!$F39</f>
        <v>0</v>
      </c>
      <c r="F536" s="1519"/>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2">
      <c r="B537" s="146">
        <f>IF(AND('Jrnl Exp ~ Dép'!$G40&lt;&gt;"",'Jrnl Exp ~ Dép'!$C40&lt;&gt;""),1,0)</f>
        <v>0</v>
      </c>
      <c r="C537" s="146">
        <f>'Jrnl Exp ~ Dép'!$C40</f>
        <v>0</v>
      </c>
      <c r="D537" s="168">
        <f>'Jrnl Exp ~ Dép'!$D40</f>
        <v>0</v>
      </c>
      <c r="E537" s="1519">
        <f>'Jrnl Exp ~ Dép'!$F40</f>
        <v>0</v>
      </c>
      <c r="F537" s="1519"/>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2">
      <c r="B538" s="146">
        <f>IF(AND('Jrnl Exp ~ Dép'!$G41&lt;&gt;"",'Jrnl Exp ~ Dép'!$C41&lt;&gt;""),1,0)</f>
        <v>0</v>
      </c>
      <c r="C538" s="146">
        <f>'Jrnl Exp ~ Dép'!$C41</f>
        <v>0</v>
      </c>
      <c r="D538" s="168">
        <f>'Jrnl Exp ~ Dép'!$D41</f>
        <v>0</v>
      </c>
      <c r="E538" s="1519">
        <f>'Jrnl Exp ~ Dép'!$F41</f>
        <v>0</v>
      </c>
      <c r="F538" s="1519"/>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2">
      <c r="B539" s="146">
        <f>IF(AND('Jrnl Exp ~ Dép'!$G42&lt;&gt;"",'Jrnl Exp ~ Dép'!$C42&lt;&gt;""),1,0)</f>
        <v>0</v>
      </c>
      <c r="C539" s="146">
        <f>'Jrnl Exp ~ Dép'!$C42</f>
        <v>0</v>
      </c>
      <c r="D539" s="168">
        <f>'Jrnl Exp ~ Dép'!$D42</f>
        <v>0</v>
      </c>
      <c r="E539" s="1519">
        <f>'Jrnl Exp ~ Dép'!$F42</f>
        <v>0</v>
      </c>
      <c r="F539" s="1519"/>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2">
      <c r="B540" s="146">
        <f>IF(AND('Jrnl Exp ~ Dép'!$G43&lt;&gt;"",'Jrnl Exp ~ Dép'!$C43&lt;&gt;""),1,0)</f>
        <v>0</v>
      </c>
      <c r="C540" s="146">
        <f>'Jrnl Exp ~ Dép'!$C43</f>
        <v>0</v>
      </c>
      <c r="D540" s="168">
        <f>'Jrnl Exp ~ Dép'!$D43</f>
        <v>0</v>
      </c>
      <c r="E540" s="1519">
        <f>'Jrnl Exp ~ Dép'!$F43</f>
        <v>0</v>
      </c>
      <c r="F540" s="1519"/>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2">
      <c r="B541" s="146">
        <f>IF(AND('Jrnl Exp ~ Dép'!$G44&lt;&gt;"",'Jrnl Exp ~ Dép'!$C44&lt;&gt;""),1,0)</f>
        <v>0</v>
      </c>
      <c r="C541" s="146">
        <f>'Jrnl Exp ~ Dép'!$C44</f>
        <v>0</v>
      </c>
      <c r="D541" s="168">
        <f>'Jrnl Exp ~ Dép'!$D44</f>
        <v>0</v>
      </c>
      <c r="E541" s="1519">
        <f>'Jrnl Exp ~ Dép'!$F44</f>
        <v>0</v>
      </c>
      <c r="F541" s="1519"/>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2">
      <c r="B542" s="146">
        <f>IF(AND('Jrnl Exp ~ Dép'!$G45&lt;&gt;"",'Jrnl Exp ~ Dép'!$C45&lt;&gt;""),1,0)</f>
        <v>0</v>
      </c>
      <c r="C542" s="146">
        <f>'Jrnl Exp ~ Dép'!$C45</f>
        <v>0</v>
      </c>
      <c r="D542" s="168">
        <f>'Jrnl Exp ~ Dép'!$D45</f>
        <v>0</v>
      </c>
      <c r="E542" s="1519">
        <f>'Jrnl Exp ~ Dép'!$F45</f>
        <v>0</v>
      </c>
      <c r="F542" s="1519"/>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2">
      <c r="B543" s="146">
        <f>IF(AND('Jrnl Exp ~ Dép'!$G46&lt;&gt;"",'Jrnl Exp ~ Dép'!$C46&lt;&gt;""),1,0)</f>
        <v>0</v>
      </c>
      <c r="C543" s="146">
        <f>'Jrnl Exp ~ Dép'!$C46</f>
        <v>0</v>
      </c>
      <c r="D543" s="168">
        <f>'Jrnl Exp ~ Dép'!$D46</f>
        <v>0</v>
      </c>
      <c r="E543" s="1519">
        <f>'Jrnl Exp ~ Dép'!$F46</f>
        <v>0</v>
      </c>
      <c r="F543" s="1519"/>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2">
      <c r="B544" s="146">
        <f>IF(AND('Jrnl Exp ~ Dép'!$G47&lt;&gt;"",'Jrnl Exp ~ Dép'!$C47&lt;&gt;""),1,0)</f>
        <v>0</v>
      </c>
      <c r="C544" s="146">
        <f>'Jrnl Exp ~ Dép'!$C47</f>
        <v>0</v>
      </c>
      <c r="D544" s="168">
        <f>'Jrnl Exp ~ Dép'!$D47</f>
        <v>0</v>
      </c>
      <c r="E544" s="1519">
        <f>'Jrnl Exp ~ Dép'!$F47</f>
        <v>0</v>
      </c>
      <c r="F544" s="1519"/>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2">
      <c r="B545" s="146">
        <f>IF(AND('Jrnl Exp ~ Dép'!$G48&lt;&gt;"",'Jrnl Exp ~ Dép'!$C48&lt;&gt;""),1,0)</f>
        <v>0</v>
      </c>
      <c r="C545" s="146">
        <f>'Jrnl Exp ~ Dép'!$C48</f>
        <v>0</v>
      </c>
      <c r="D545" s="168">
        <f>'Jrnl Exp ~ Dép'!$D48</f>
        <v>0</v>
      </c>
      <c r="E545" s="1519">
        <f>'Jrnl Exp ~ Dép'!$F48</f>
        <v>0</v>
      </c>
      <c r="F545" s="1519"/>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2">
      <c r="B546" s="146">
        <f>IF(AND('Jrnl Exp ~ Dép'!$G49&lt;&gt;"",'Jrnl Exp ~ Dép'!$C49&lt;&gt;""),1,0)</f>
        <v>0</v>
      </c>
      <c r="C546" s="146">
        <f>'Jrnl Exp ~ Dép'!$C49</f>
        <v>0</v>
      </c>
      <c r="D546" s="168">
        <f>'Jrnl Exp ~ Dép'!$D49</f>
        <v>0</v>
      </c>
      <c r="E546" s="1519">
        <f>'Jrnl Exp ~ Dép'!$F49</f>
        <v>0</v>
      </c>
      <c r="F546" s="1519"/>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2">
      <c r="B547" s="146">
        <f>IF(AND('Jrnl Exp ~ Dép'!$G50&lt;&gt;"",'Jrnl Exp ~ Dép'!$C50&lt;&gt;""),1,0)</f>
        <v>0</v>
      </c>
      <c r="C547" s="146">
        <f>'Jrnl Exp ~ Dép'!$C50</f>
        <v>0</v>
      </c>
      <c r="D547" s="168">
        <f>'Jrnl Exp ~ Dép'!$D50</f>
        <v>0</v>
      </c>
      <c r="E547" s="1519">
        <f>'Jrnl Exp ~ Dép'!$F50</f>
        <v>0</v>
      </c>
      <c r="F547" s="1519"/>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2">
      <c r="B548" s="146">
        <f>IF(AND('Jrnl Exp ~ Dép'!$G51&lt;&gt;"",'Jrnl Exp ~ Dép'!$C51&lt;&gt;""),1,0)</f>
        <v>0</v>
      </c>
      <c r="C548" s="146">
        <f>'Jrnl Exp ~ Dép'!$C51</f>
        <v>0</v>
      </c>
      <c r="D548" s="168">
        <f>'Jrnl Exp ~ Dép'!$D51</f>
        <v>0</v>
      </c>
      <c r="E548" s="1519">
        <f>'Jrnl Exp ~ Dép'!$F51</f>
        <v>0</v>
      </c>
      <c r="F548" s="1519"/>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2">
      <c r="B549" s="146">
        <f>IF(AND('Jrnl Exp ~ Dép'!$G52&lt;&gt;"",'Jrnl Exp ~ Dép'!$C52&lt;&gt;""),1,0)</f>
        <v>0</v>
      </c>
      <c r="C549" s="146">
        <f>'Jrnl Exp ~ Dép'!$C52</f>
        <v>0</v>
      </c>
      <c r="D549" s="168">
        <f>'Jrnl Exp ~ Dép'!$D52</f>
        <v>0</v>
      </c>
      <c r="E549" s="1519">
        <f>'Jrnl Exp ~ Dép'!$F52</f>
        <v>0</v>
      </c>
      <c r="F549" s="1519"/>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2">
      <c r="B550" s="146">
        <f>IF(AND('Jrnl Exp ~ Dép'!$G53&lt;&gt;"",'Jrnl Exp ~ Dép'!$C53&lt;&gt;""),1,0)</f>
        <v>0</v>
      </c>
      <c r="C550" s="146">
        <f>'Jrnl Exp ~ Dép'!$C53</f>
        <v>0</v>
      </c>
      <c r="D550" s="168">
        <f>'Jrnl Exp ~ Dép'!$D53</f>
        <v>0</v>
      </c>
      <c r="E550" s="1519">
        <f>'Jrnl Exp ~ Dép'!$F53</f>
        <v>0</v>
      </c>
      <c r="F550" s="1519"/>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2">
      <c r="B551" s="146">
        <f>IF(AND('Jrnl Exp ~ Dép'!$G54&lt;&gt;"",'Jrnl Exp ~ Dép'!$C54&lt;&gt;""),1,0)</f>
        <v>0</v>
      </c>
      <c r="C551" s="146">
        <f>'Jrnl Exp ~ Dép'!$C54</f>
        <v>0</v>
      </c>
      <c r="D551" s="168">
        <f>'Jrnl Exp ~ Dép'!$D54</f>
        <v>0</v>
      </c>
      <c r="E551" s="1519">
        <f>'Jrnl Exp ~ Dép'!$F54</f>
        <v>0</v>
      </c>
      <c r="F551" s="1519"/>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2">
      <c r="B552" s="146">
        <f>IF(AND('Jrnl Exp ~ Dép'!$G55&lt;&gt;"",'Jrnl Exp ~ Dép'!$C55&lt;&gt;""),1,0)</f>
        <v>0</v>
      </c>
      <c r="C552" s="146">
        <f>'Jrnl Exp ~ Dép'!$C55</f>
        <v>0</v>
      </c>
      <c r="D552" s="168">
        <f>'Jrnl Exp ~ Dép'!$D55</f>
        <v>0</v>
      </c>
      <c r="E552" s="1519">
        <f>'Jrnl Exp ~ Dép'!$F55</f>
        <v>0</v>
      </c>
      <c r="F552" s="1519"/>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2">
      <c r="B553" s="146">
        <f>IF(AND('Jrnl Exp ~ Dép'!$G56&lt;&gt;"",'Jrnl Exp ~ Dép'!$C56&lt;&gt;""),1,0)</f>
        <v>0</v>
      </c>
      <c r="C553" s="146">
        <f>'Jrnl Exp ~ Dép'!$C56</f>
        <v>0</v>
      </c>
      <c r="D553" s="168">
        <f>'Jrnl Exp ~ Dép'!$D56</f>
        <v>0</v>
      </c>
      <c r="E553" s="1519">
        <f>'Jrnl Exp ~ Dép'!$F56</f>
        <v>0</v>
      </c>
      <c r="F553" s="1519"/>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2">
      <c r="B554" s="146">
        <f>IF(AND('Jrnl Exp ~ Dép'!$G57&lt;&gt;"",'Jrnl Exp ~ Dép'!$C57&lt;&gt;""),1,0)</f>
        <v>0</v>
      </c>
      <c r="C554" s="146">
        <f>'Jrnl Exp ~ Dép'!$C57</f>
        <v>0</v>
      </c>
      <c r="D554" s="168">
        <f>'Jrnl Exp ~ Dép'!$D57</f>
        <v>0</v>
      </c>
      <c r="E554" s="1519">
        <f>'Jrnl Exp ~ Dép'!$F57</f>
        <v>0</v>
      </c>
      <c r="F554" s="1519"/>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2">
      <c r="B555" s="146">
        <f>IF(AND('Jrnl Exp ~ Dép'!$G58&lt;&gt;"",'Jrnl Exp ~ Dép'!$C58&lt;&gt;""),1,0)</f>
        <v>0</v>
      </c>
      <c r="C555" s="146">
        <f>'Jrnl Exp ~ Dép'!$C58</f>
        <v>0</v>
      </c>
      <c r="D555" s="168">
        <f>'Jrnl Exp ~ Dép'!$D58</f>
        <v>0</v>
      </c>
      <c r="E555" s="1519">
        <f>'Jrnl Exp ~ Dép'!$F58</f>
        <v>0</v>
      </c>
      <c r="F555" s="1519"/>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2">
      <c r="B556" s="146">
        <f>IF(AND('Jrnl Exp ~ Dép'!$G59&lt;&gt;"",'Jrnl Exp ~ Dép'!$C59&lt;&gt;""),1,0)</f>
        <v>0</v>
      </c>
      <c r="C556" s="146">
        <f>'Jrnl Exp ~ Dép'!$C59</f>
        <v>0</v>
      </c>
      <c r="D556" s="168">
        <f>'Jrnl Exp ~ Dép'!$D59</f>
        <v>0</v>
      </c>
      <c r="E556" s="1519">
        <f>'Jrnl Exp ~ Dép'!$F59</f>
        <v>0</v>
      </c>
      <c r="F556" s="1519"/>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2">
      <c r="B557" s="146">
        <f>IF(AND('Jrnl Exp ~ Dép'!$G60&lt;&gt;"",'Jrnl Exp ~ Dép'!$C60&lt;&gt;""),1,0)</f>
        <v>0</v>
      </c>
      <c r="C557" s="146">
        <f>'Jrnl Exp ~ Dép'!$C60</f>
        <v>0</v>
      </c>
      <c r="D557" s="168">
        <f>'Jrnl Exp ~ Dép'!$D60</f>
        <v>0</v>
      </c>
      <c r="E557" s="1519">
        <f>'Jrnl Exp ~ Dép'!$F60</f>
        <v>0</v>
      </c>
      <c r="F557" s="1519"/>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2">
      <c r="B558" s="146">
        <f>IF(AND('Jrnl Exp ~ Dép'!$G61&lt;&gt;"",'Jrnl Exp ~ Dép'!$C61&lt;&gt;""),1,0)</f>
        <v>0</v>
      </c>
      <c r="C558" s="146">
        <f>'Jrnl Exp ~ Dép'!$C61</f>
        <v>0</v>
      </c>
      <c r="D558" s="168">
        <f>'Jrnl Exp ~ Dép'!$D61</f>
        <v>0</v>
      </c>
      <c r="E558" s="1519">
        <f>'Jrnl Exp ~ Dép'!$F61</f>
        <v>0</v>
      </c>
      <c r="F558" s="1519"/>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2">
      <c r="B559" s="146">
        <f>IF(AND('Jrnl Exp ~ Dép'!$G62&lt;&gt;"",'Jrnl Exp ~ Dép'!$C62&lt;&gt;""),1,0)</f>
        <v>0</v>
      </c>
      <c r="C559" s="146">
        <f>'Jrnl Exp ~ Dép'!$C62</f>
        <v>0</v>
      </c>
      <c r="D559" s="168">
        <f>'Jrnl Exp ~ Dép'!$D62</f>
        <v>0</v>
      </c>
      <c r="E559" s="1519">
        <f>'Jrnl Exp ~ Dép'!$F62</f>
        <v>0</v>
      </c>
      <c r="F559" s="1519"/>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2">
      <c r="B560" s="146">
        <f>IF(AND('Jrnl Exp ~ Dép'!$G63&lt;&gt;"",'Jrnl Exp ~ Dép'!$C63&lt;&gt;""),1,0)</f>
        <v>0</v>
      </c>
      <c r="C560" s="146">
        <f>'Jrnl Exp ~ Dép'!$C63</f>
        <v>0</v>
      </c>
      <c r="D560" s="168">
        <f>'Jrnl Exp ~ Dép'!$D63</f>
        <v>0</v>
      </c>
      <c r="E560" s="1519">
        <f>'Jrnl Exp ~ Dép'!$F63</f>
        <v>0</v>
      </c>
      <c r="F560" s="1519"/>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2">
      <c r="B561" s="146">
        <f>IF(AND('Jrnl Exp ~ Dép'!$G64&lt;&gt;"",'Jrnl Exp ~ Dép'!$C64&lt;&gt;""),1,0)</f>
        <v>0</v>
      </c>
      <c r="C561" s="146">
        <f>'Jrnl Exp ~ Dép'!$C64</f>
        <v>0</v>
      </c>
      <c r="D561" s="168">
        <f>'Jrnl Exp ~ Dép'!$D64</f>
        <v>0</v>
      </c>
      <c r="E561" s="1519">
        <f>'Jrnl Exp ~ Dép'!$F64</f>
        <v>0</v>
      </c>
      <c r="F561" s="1519"/>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2">
      <c r="B562" s="146">
        <f>IF(AND('Jrnl Exp ~ Dép'!$G65&lt;&gt;"",'Jrnl Exp ~ Dép'!$C65&lt;&gt;""),1,0)</f>
        <v>0</v>
      </c>
      <c r="C562" s="146">
        <f>'Jrnl Exp ~ Dép'!$C65</f>
        <v>0</v>
      </c>
      <c r="D562" s="168">
        <f>'Jrnl Exp ~ Dép'!$D65</f>
        <v>0</v>
      </c>
      <c r="E562" s="1519">
        <f>'Jrnl Exp ~ Dép'!$F65</f>
        <v>0</v>
      </c>
      <c r="F562" s="1519"/>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2">
      <c r="B563" s="146">
        <f>IF(AND('Jrnl Exp ~ Dép'!$G66&lt;&gt;"",'Jrnl Exp ~ Dép'!$C66&lt;&gt;""),1,0)</f>
        <v>0</v>
      </c>
      <c r="C563" s="146">
        <f>'Jrnl Exp ~ Dép'!$C66</f>
        <v>0</v>
      </c>
      <c r="D563" s="168">
        <f>'Jrnl Exp ~ Dép'!$D66</f>
        <v>0</v>
      </c>
      <c r="E563" s="1519">
        <f>'Jrnl Exp ~ Dép'!$F66</f>
        <v>0</v>
      </c>
      <c r="F563" s="1519"/>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2">
      <c r="B564" s="146">
        <f>IF(AND('Jrnl Exp ~ Dép'!$G67&lt;&gt;"",'Jrnl Exp ~ Dép'!$C67&lt;&gt;""),1,0)</f>
        <v>0</v>
      </c>
      <c r="C564" s="146">
        <f>'Jrnl Exp ~ Dép'!$C67</f>
        <v>0</v>
      </c>
      <c r="D564" s="168">
        <f>'Jrnl Exp ~ Dép'!$D67</f>
        <v>0</v>
      </c>
      <c r="E564" s="1519">
        <f>'Jrnl Exp ~ Dép'!$F67</f>
        <v>0</v>
      </c>
      <c r="F564" s="1519"/>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2">
      <c r="B565" s="146">
        <f>IF(AND('Jrnl Exp ~ Dép'!$G68&lt;&gt;"",'Jrnl Exp ~ Dép'!$C68&lt;&gt;""),1,0)</f>
        <v>0</v>
      </c>
      <c r="C565" s="146">
        <f>'Jrnl Exp ~ Dép'!$C68</f>
        <v>0</v>
      </c>
      <c r="D565" s="168">
        <f>'Jrnl Exp ~ Dép'!$D68</f>
        <v>0</v>
      </c>
      <c r="E565" s="1519">
        <f>'Jrnl Exp ~ Dép'!$F68</f>
        <v>0</v>
      </c>
      <c r="F565" s="1519"/>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2">
      <c r="B566" s="146">
        <f>IF(AND('Jrnl Exp ~ Dép'!$G69&lt;&gt;"",'Jrnl Exp ~ Dép'!$C69&lt;&gt;""),1,0)</f>
        <v>0</v>
      </c>
      <c r="C566" s="146">
        <f>'Jrnl Exp ~ Dép'!$C69</f>
        <v>0</v>
      </c>
      <c r="D566" s="168">
        <f>'Jrnl Exp ~ Dép'!$D69</f>
        <v>0</v>
      </c>
      <c r="E566" s="1519">
        <f>'Jrnl Exp ~ Dép'!$F69</f>
        <v>0</v>
      </c>
      <c r="F566" s="1519"/>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2">
      <c r="B567" s="146">
        <f>IF(AND('Jrnl Exp ~ Dép'!$G70&lt;&gt;"",'Jrnl Exp ~ Dép'!$C70&lt;&gt;""),1,0)</f>
        <v>0</v>
      </c>
      <c r="C567" s="146">
        <f>'Jrnl Exp ~ Dép'!$C70</f>
        <v>0</v>
      </c>
      <c r="D567" s="168">
        <f>'Jrnl Exp ~ Dép'!$D70</f>
        <v>0</v>
      </c>
      <c r="E567" s="1519">
        <f>'Jrnl Exp ~ Dép'!$F70</f>
        <v>0</v>
      </c>
      <c r="F567" s="1519"/>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2">
      <c r="B568" s="146">
        <f>IF(AND('Jrnl Exp ~ Dép'!$G71&lt;&gt;"",'Jrnl Exp ~ Dép'!$C71&lt;&gt;""),1,0)</f>
        <v>0</v>
      </c>
      <c r="C568" s="146">
        <f>'Jrnl Exp ~ Dép'!$C71</f>
        <v>0</v>
      </c>
      <c r="D568" s="168">
        <f>'Jrnl Exp ~ Dép'!$D71</f>
        <v>0</v>
      </c>
      <c r="E568" s="1519">
        <f>'Jrnl Exp ~ Dép'!$F71</f>
        <v>0</v>
      </c>
      <c r="F568" s="1519"/>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2">
      <c r="B569" s="146">
        <f>IF(AND('Jrnl Exp ~ Dép'!$G72&lt;&gt;"",'Jrnl Exp ~ Dép'!$C72&lt;&gt;""),1,0)</f>
        <v>0</v>
      </c>
      <c r="C569" s="146">
        <f>'Jrnl Exp ~ Dép'!$C72</f>
        <v>0</v>
      </c>
      <c r="D569" s="168">
        <f>'Jrnl Exp ~ Dép'!$D72</f>
        <v>0</v>
      </c>
      <c r="E569" s="1519">
        <f>'Jrnl Exp ~ Dép'!$F72</f>
        <v>0</v>
      </c>
      <c r="F569" s="1519"/>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2">
      <c r="B570" s="146">
        <f>IF(AND('Jrnl Exp ~ Dép'!$G73&lt;&gt;"",'Jrnl Exp ~ Dép'!$C73&lt;&gt;""),1,0)</f>
        <v>0</v>
      </c>
      <c r="C570" s="146">
        <f>'Jrnl Exp ~ Dép'!$C73</f>
        <v>0</v>
      </c>
      <c r="D570" s="168">
        <f>'Jrnl Exp ~ Dép'!$D73</f>
        <v>0</v>
      </c>
      <c r="E570" s="1519">
        <f>'Jrnl Exp ~ Dép'!$F73</f>
        <v>0</v>
      </c>
      <c r="F570" s="1519"/>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2">
      <c r="B571" s="146">
        <f>IF(AND('Jrnl Exp ~ Dép'!$G74&lt;&gt;"",'Jrnl Exp ~ Dép'!$C74&lt;&gt;""),1,0)</f>
        <v>0</v>
      </c>
      <c r="C571" s="146">
        <f>'Jrnl Exp ~ Dép'!$C74</f>
        <v>0</v>
      </c>
      <c r="D571" s="168">
        <f>'Jrnl Exp ~ Dép'!$D74</f>
        <v>0</v>
      </c>
      <c r="E571" s="1519">
        <f>'Jrnl Exp ~ Dép'!$F74</f>
        <v>0</v>
      </c>
      <c r="F571" s="1519"/>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2">
      <c r="B572" s="146">
        <f>IF(AND('Jrnl Exp ~ Dép'!$G75&lt;&gt;"",'Jrnl Exp ~ Dép'!$C75&lt;&gt;""),1,0)</f>
        <v>0</v>
      </c>
      <c r="C572" s="146">
        <f>'Jrnl Exp ~ Dép'!$C75</f>
        <v>0</v>
      </c>
      <c r="D572" s="168">
        <f>'Jrnl Exp ~ Dép'!$D75</f>
        <v>0</v>
      </c>
      <c r="E572" s="1519">
        <f>'Jrnl Exp ~ Dép'!$F75</f>
        <v>0</v>
      </c>
      <c r="F572" s="1519"/>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2">
      <c r="B573" s="146">
        <f>IF(AND('Jrnl Exp ~ Dép'!$G76&lt;&gt;"",'Jrnl Exp ~ Dép'!$C76&lt;&gt;""),1,0)</f>
        <v>0</v>
      </c>
      <c r="C573" s="146">
        <f>'Jrnl Exp ~ Dép'!$C76</f>
        <v>0</v>
      </c>
      <c r="D573" s="168">
        <f>'Jrnl Exp ~ Dép'!$D76</f>
        <v>0</v>
      </c>
      <c r="E573" s="1519">
        <f>'Jrnl Exp ~ Dép'!$F76</f>
        <v>0</v>
      </c>
      <c r="F573" s="1519"/>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2">
      <c r="B574" s="146">
        <f>IF(AND('Jrnl Exp ~ Dép'!$G77&lt;&gt;"",'Jrnl Exp ~ Dép'!$C77&lt;&gt;""),1,0)</f>
        <v>0</v>
      </c>
      <c r="C574" s="146">
        <f>'Jrnl Exp ~ Dép'!$C77</f>
        <v>0</v>
      </c>
      <c r="D574" s="168">
        <f>'Jrnl Exp ~ Dép'!$D77</f>
        <v>0</v>
      </c>
      <c r="E574" s="1519">
        <f>'Jrnl Exp ~ Dép'!$F77</f>
        <v>0</v>
      </c>
      <c r="F574" s="1519"/>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2">
      <c r="B575" s="146">
        <f>IF(AND('Jrnl Exp ~ Dép'!$G78&lt;&gt;"",'Jrnl Exp ~ Dép'!$C78&lt;&gt;""),1,0)</f>
        <v>0</v>
      </c>
      <c r="C575" s="146">
        <f>'Jrnl Exp ~ Dép'!$C78</f>
        <v>0</v>
      </c>
      <c r="D575" s="168">
        <f>'Jrnl Exp ~ Dép'!$D78</f>
        <v>0</v>
      </c>
      <c r="E575" s="1519">
        <f>'Jrnl Exp ~ Dép'!$F78</f>
        <v>0</v>
      </c>
      <c r="F575" s="1519"/>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2">
      <c r="B576" s="146">
        <f>IF(AND('Jrnl Exp ~ Dép'!$G79&lt;&gt;"",'Jrnl Exp ~ Dép'!$C79&lt;&gt;""),1,0)</f>
        <v>0</v>
      </c>
      <c r="C576" s="146">
        <f>'Jrnl Exp ~ Dép'!$C79</f>
        <v>0</v>
      </c>
      <c r="D576" s="168">
        <f>'Jrnl Exp ~ Dép'!$D79</f>
        <v>0</v>
      </c>
      <c r="E576" s="1519">
        <f>'Jrnl Exp ~ Dép'!$F79</f>
        <v>0</v>
      </c>
      <c r="F576" s="1519"/>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2">
      <c r="B577" s="146">
        <f>IF(AND('Jrnl Exp ~ Dép'!$G80&lt;&gt;"",'Jrnl Exp ~ Dép'!$C80&lt;&gt;""),1,0)</f>
        <v>0</v>
      </c>
      <c r="C577" s="146">
        <f>'Jrnl Exp ~ Dép'!$C80</f>
        <v>0</v>
      </c>
      <c r="D577" s="168">
        <f>'Jrnl Exp ~ Dép'!$D80</f>
        <v>0</v>
      </c>
      <c r="E577" s="1519">
        <f>'Jrnl Exp ~ Dép'!$F80</f>
        <v>0</v>
      </c>
      <c r="F577" s="1519"/>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2">
      <c r="B578" s="146">
        <f>IF(AND('Jrnl Exp ~ Dép'!$G81&lt;&gt;"",'Jrnl Exp ~ Dép'!$C81&lt;&gt;""),1,0)</f>
        <v>0</v>
      </c>
      <c r="C578" s="146">
        <f>'Jrnl Exp ~ Dép'!$C81</f>
        <v>0</v>
      </c>
      <c r="D578" s="168">
        <f>'Jrnl Exp ~ Dép'!$D81</f>
        <v>0</v>
      </c>
      <c r="E578" s="1519">
        <f>'Jrnl Exp ~ Dép'!$F81</f>
        <v>0</v>
      </c>
      <c r="F578" s="1519"/>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2">
      <c r="B579" s="146">
        <f>IF(AND('Jrnl Exp ~ Dép'!$G82&lt;&gt;"",'Jrnl Exp ~ Dép'!$C82&lt;&gt;""),1,0)</f>
        <v>0</v>
      </c>
      <c r="C579" s="146">
        <f>'Jrnl Exp ~ Dép'!$C82</f>
        <v>0</v>
      </c>
      <c r="D579" s="168">
        <f>'Jrnl Exp ~ Dép'!$D82</f>
        <v>0</v>
      </c>
      <c r="E579" s="1519">
        <f>'Jrnl Exp ~ Dép'!$F82</f>
        <v>0</v>
      </c>
      <c r="F579" s="1519"/>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2">
      <c r="B580" s="146">
        <f>IF(AND('Jrnl Exp ~ Dép'!$G83&lt;&gt;"",'Jrnl Exp ~ Dép'!$C83&lt;&gt;""),1,0)</f>
        <v>0</v>
      </c>
      <c r="C580" s="146">
        <f>'Jrnl Exp ~ Dép'!$C83</f>
        <v>0</v>
      </c>
      <c r="D580" s="168">
        <f>'Jrnl Exp ~ Dép'!$D83</f>
        <v>0</v>
      </c>
      <c r="E580" s="1519">
        <f>'Jrnl Exp ~ Dép'!$F83</f>
        <v>0</v>
      </c>
      <c r="F580" s="1519"/>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2">
      <c r="B581" s="146">
        <f>IF(AND('Jrnl Exp ~ Dép'!$G84&lt;&gt;"",'Jrnl Exp ~ Dép'!$C84&lt;&gt;""),1,0)</f>
        <v>0</v>
      </c>
      <c r="C581" s="146">
        <f>'Jrnl Exp ~ Dép'!$C84</f>
        <v>0</v>
      </c>
      <c r="D581" s="168">
        <f>'Jrnl Exp ~ Dép'!$D84</f>
        <v>0</v>
      </c>
      <c r="E581" s="1519">
        <f>'Jrnl Exp ~ Dép'!$F84</f>
        <v>0</v>
      </c>
      <c r="F581" s="1519"/>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2">
      <c r="B582" s="146">
        <f>IF(AND('Jrnl Exp ~ Dép'!$G85&lt;&gt;"",'Jrnl Exp ~ Dép'!$C85&lt;&gt;""),1,0)</f>
        <v>0</v>
      </c>
      <c r="C582" s="146">
        <f>'Jrnl Exp ~ Dép'!$C85</f>
        <v>0</v>
      </c>
      <c r="D582" s="168">
        <f>'Jrnl Exp ~ Dép'!$D85</f>
        <v>0</v>
      </c>
      <c r="E582" s="1519">
        <f>'Jrnl Exp ~ Dép'!$F85</f>
        <v>0</v>
      </c>
      <c r="F582" s="1519"/>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2">
      <c r="B583" s="146">
        <f>IF(AND('Jrnl Exp ~ Dép'!$G86&lt;&gt;"",'Jrnl Exp ~ Dép'!$C86&lt;&gt;""),1,0)</f>
        <v>0</v>
      </c>
      <c r="C583" s="146">
        <f>'Jrnl Exp ~ Dép'!$C86</f>
        <v>0</v>
      </c>
      <c r="D583" s="168">
        <f>'Jrnl Exp ~ Dép'!$D86</f>
        <v>0</v>
      </c>
      <c r="E583" s="1519">
        <f>'Jrnl Exp ~ Dép'!$F86</f>
        <v>0</v>
      </c>
      <c r="F583" s="1519"/>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2">
      <c r="B584" s="146">
        <f>IF(AND('Jrnl Exp ~ Dép'!$G87&lt;&gt;"",'Jrnl Exp ~ Dép'!$C87&lt;&gt;""),1,0)</f>
        <v>0</v>
      </c>
      <c r="C584" s="146">
        <f>'Jrnl Exp ~ Dép'!$C87</f>
        <v>0</v>
      </c>
      <c r="D584" s="168">
        <f>'Jrnl Exp ~ Dép'!$D87</f>
        <v>0</v>
      </c>
      <c r="E584" s="1519">
        <f>'Jrnl Exp ~ Dép'!$F87</f>
        <v>0</v>
      </c>
      <c r="F584" s="1519"/>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2">
      <c r="B585" s="146">
        <f>IF(AND('Jrnl Exp ~ Dép'!$G88&lt;&gt;"",'Jrnl Exp ~ Dép'!$C88&lt;&gt;""),1,0)</f>
        <v>0</v>
      </c>
      <c r="C585" s="146">
        <f>'Jrnl Exp ~ Dép'!$C88</f>
        <v>0</v>
      </c>
      <c r="D585" s="168">
        <f>'Jrnl Exp ~ Dép'!$D88</f>
        <v>0</v>
      </c>
      <c r="E585" s="1519">
        <f>'Jrnl Exp ~ Dép'!$F88</f>
        <v>0</v>
      </c>
      <c r="F585" s="1519"/>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2">
      <c r="B586" s="146">
        <f>IF(AND('Jrnl Exp ~ Dép'!$G89&lt;&gt;"",'Jrnl Exp ~ Dép'!$C89&lt;&gt;""),1,0)</f>
        <v>0</v>
      </c>
      <c r="C586" s="146">
        <f>'Jrnl Exp ~ Dép'!$C89</f>
        <v>0</v>
      </c>
      <c r="D586" s="168">
        <f>'Jrnl Exp ~ Dép'!$D89</f>
        <v>0</v>
      </c>
      <c r="E586" s="1519">
        <f>'Jrnl Exp ~ Dép'!$F89</f>
        <v>0</v>
      </c>
      <c r="F586" s="1519"/>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2">
      <c r="B587" s="146">
        <f>IF(AND('Jrnl Exp ~ Dép'!$G90&lt;&gt;"",'Jrnl Exp ~ Dép'!$C90&lt;&gt;""),1,0)</f>
        <v>0</v>
      </c>
      <c r="C587" s="146">
        <f>'Jrnl Exp ~ Dép'!$C90</f>
        <v>0</v>
      </c>
      <c r="D587" s="168">
        <f>'Jrnl Exp ~ Dép'!$D90</f>
        <v>0</v>
      </c>
      <c r="E587" s="1519">
        <f>'Jrnl Exp ~ Dép'!$F90</f>
        <v>0</v>
      </c>
      <c r="F587" s="1519"/>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2">
      <c r="B588" s="146">
        <f>IF(AND('Jrnl Exp ~ Dép'!$G91&lt;&gt;"",'Jrnl Exp ~ Dép'!$C91&lt;&gt;""),1,0)</f>
        <v>0</v>
      </c>
      <c r="C588" s="146">
        <f>'Jrnl Exp ~ Dép'!$C91</f>
        <v>0</v>
      </c>
      <c r="D588" s="168">
        <f>'Jrnl Exp ~ Dép'!$D91</f>
        <v>0</v>
      </c>
      <c r="E588" s="1519">
        <f>'Jrnl Exp ~ Dép'!$F91</f>
        <v>0</v>
      </c>
      <c r="F588" s="1519"/>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2">
      <c r="B589" s="146">
        <f>IF(AND('Jrnl Exp ~ Dép'!$G92&lt;&gt;"",'Jrnl Exp ~ Dép'!$C92&lt;&gt;""),1,0)</f>
        <v>0</v>
      </c>
      <c r="C589" s="146">
        <f>'Jrnl Exp ~ Dép'!$C92</f>
        <v>0</v>
      </c>
      <c r="D589" s="168">
        <f>'Jrnl Exp ~ Dép'!$D92</f>
        <v>0</v>
      </c>
      <c r="E589" s="1519">
        <f>'Jrnl Exp ~ Dép'!$F92</f>
        <v>0</v>
      </c>
      <c r="F589" s="1519"/>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2">
      <c r="B590" s="146">
        <f>IF(AND('Jrnl Exp ~ Dép'!$G93&lt;&gt;"",'Jrnl Exp ~ Dép'!$C93&lt;&gt;""),1,0)</f>
        <v>0</v>
      </c>
      <c r="C590" s="146">
        <f>'Jrnl Exp ~ Dép'!$C93</f>
        <v>0</v>
      </c>
      <c r="D590" s="168">
        <f>'Jrnl Exp ~ Dép'!$D93</f>
        <v>0</v>
      </c>
      <c r="E590" s="1519">
        <f>'Jrnl Exp ~ Dép'!$F93</f>
        <v>0</v>
      </c>
      <c r="F590" s="1519"/>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2">
      <c r="B591" s="146">
        <f>IF(AND('Jrnl Exp ~ Dép'!$G94&lt;&gt;"",'Jrnl Exp ~ Dép'!$C94&lt;&gt;""),1,0)</f>
        <v>0</v>
      </c>
      <c r="C591" s="146">
        <f>'Jrnl Exp ~ Dép'!$C94</f>
        <v>0</v>
      </c>
      <c r="D591" s="168">
        <f>'Jrnl Exp ~ Dép'!$D94</f>
        <v>0</v>
      </c>
      <c r="E591" s="1519">
        <f>'Jrnl Exp ~ Dép'!$F94</f>
        <v>0</v>
      </c>
      <c r="F591" s="1519"/>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2">
      <c r="B592" s="146">
        <f>IF(AND('Jrnl Exp ~ Dép'!$G95&lt;&gt;"",'Jrnl Exp ~ Dép'!$C95&lt;&gt;""),1,0)</f>
        <v>0</v>
      </c>
      <c r="C592" s="146">
        <f>'Jrnl Exp ~ Dép'!$C95</f>
        <v>0</v>
      </c>
      <c r="D592" s="168">
        <f>'Jrnl Exp ~ Dép'!$D95</f>
        <v>0</v>
      </c>
      <c r="E592" s="1519">
        <f>'Jrnl Exp ~ Dép'!$F95</f>
        <v>0</v>
      </c>
      <c r="F592" s="1519"/>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2">
      <c r="B593" s="146">
        <f>IF(AND('Jrnl Exp ~ Dép'!$G96&lt;&gt;"",'Jrnl Exp ~ Dép'!$C96&lt;&gt;""),1,0)</f>
        <v>0</v>
      </c>
      <c r="C593" s="146">
        <f>'Jrnl Exp ~ Dép'!$C96</f>
        <v>0</v>
      </c>
      <c r="D593" s="168">
        <f>'Jrnl Exp ~ Dép'!$D96</f>
        <v>0</v>
      </c>
      <c r="E593" s="1519">
        <f>'Jrnl Exp ~ Dép'!$F96</f>
        <v>0</v>
      </c>
      <c r="F593" s="1519"/>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2">
      <c r="B594" s="146">
        <f>IF(AND('Jrnl Exp ~ Dép'!$G97&lt;&gt;"",'Jrnl Exp ~ Dép'!$C97&lt;&gt;""),1,0)</f>
        <v>0</v>
      </c>
      <c r="C594" s="146">
        <f>'Jrnl Exp ~ Dép'!$C97</f>
        <v>0</v>
      </c>
      <c r="D594" s="168">
        <f>'Jrnl Exp ~ Dép'!$D97</f>
        <v>0</v>
      </c>
      <c r="E594" s="1519">
        <f>'Jrnl Exp ~ Dép'!$F97</f>
        <v>0</v>
      </c>
      <c r="F594" s="1519"/>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2">
      <c r="B595" s="146">
        <f>IF(AND('Jrnl Exp ~ Dép'!$G98&lt;&gt;"",'Jrnl Exp ~ Dép'!$C98&lt;&gt;""),1,0)</f>
        <v>0</v>
      </c>
      <c r="C595" s="146">
        <f>'Jrnl Exp ~ Dép'!$C98</f>
        <v>0</v>
      </c>
      <c r="D595" s="168">
        <f>'Jrnl Exp ~ Dép'!$D98</f>
        <v>0</v>
      </c>
      <c r="E595" s="1519">
        <f>'Jrnl Exp ~ Dép'!$F98</f>
        <v>0</v>
      </c>
      <c r="F595" s="1519"/>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2">
      <c r="B596" s="146">
        <f>IF(AND('Jrnl Exp ~ Dép'!$G99&lt;&gt;"",'Jrnl Exp ~ Dép'!$C99&lt;&gt;""),1,0)</f>
        <v>0</v>
      </c>
      <c r="C596" s="146">
        <f>'Jrnl Exp ~ Dép'!$C99</f>
        <v>0</v>
      </c>
      <c r="D596" s="168">
        <f>'Jrnl Exp ~ Dép'!$D99</f>
        <v>0</v>
      </c>
      <c r="E596" s="1519">
        <f>'Jrnl Exp ~ Dép'!$F99</f>
        <v>0</v>
      </c>
      <c r="F596" s="1519"/>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2">
      <c r="B597" s="146">
        <f>IF(AND('Jrnl Exp ~ Dép'!$G100&lt;&gt;"",'Jrnl Exp ~ Dép'!$C100&lt;&gt;""),1,0)</f>
        <v>0</v>
      </c>
      <c r="C597" s="146">
        <f>'Jrnl Exp ~ Dép'!$C100</f>
        <v>0</v>
      </c>
      <c r="D597" s="168">
        <f>'Jrnl Exp ~ Dép'!$D100</f>
        <v>0</v>
      </c>
      <c r="E597" s="1519">
        <f>'Jrnl Exp ~ Dép'!$F100</f>
        <v>0</v>
      </c>
      <c r="F597" s="1519"/>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2">
      <c r="B598" s="146">
        <f>IF(AND('Jrnl Exp ~ Dép'!$G101&lt;&gt;"",'Jrnl Exp ~ Dép'!$C101&lt;&gt;""),1,0)</f>
        <v>0</v>
      </c>
      <c r="C598" s="146">
        <f>'Jrnl Exp ~ Dép'!$C101</f>
        <v>0</v>
      </c>
      <c r="D598" s="168">
        <f>'Jrnl Exp ~ Dép'!$D101</f>
        <v>0</v>
      </c>
      <c r="E598" s="1519">
        <f>'Jrnl Exp ~ Dép'!$F101</f>
        <v>0</v>
      </c>
      <c r="F598" s="1519"/>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2">
      <c r="B599" s="146">
        <f>IF(AND('Jrnl Exp ~ Dép'!$G102&lt;&gt;"",'Jrnl Exp ~ Dép'!$C102&lt;&gt;""),1,0)</f>
        <v>0</v>
      </c>
      <c r="C599" s="146">
        <f>'Jrnl Exp ~ Dép'!$C102</f>
        <v>0</v>
      </c>
      <c r="D599" s="168">
        <f>'Jrnl Exp ~ Dép'!$D102</f>
        <v>0</v>
      </c>
      <c r="E599" s="1519">
        <f>'Jrnl Exp ~ Dép'!$F102</f>
        <v>0</v>
      </c>
      <c r="F599" s="1519"/>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2">
      <c r="B600" s="146">
        <f>IF(AND('Jrnl Exp ~ Dép'!$G103&lt;&gt;"",'Jrnl Exp ~ Dép'!$C103&lt;&gt;""),1,0)</f>
        <v>0</v>
      </c>
      <c r="C600" s="146">
        <f>'Jrnl Exp ~ Dép'!$C103</f>
        <v>0</v>
      </c>
      <c r="D600" s="168">
        <f>'Jrnl Exp ~ Dép'!$D103</f>
        <v>0</v>
      </c>
      <c r="E600" s="1519">
        <f>'Jrnl Exp ~ Dép'!$F103</f>
        <v>0</v>
      </c>
      <c r="F600" s="1519"/>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2">
      <c r="B601" s="146">
        <f>IF(AND('Jrnl Exp ~ Dép'!$G104&lt;&gt;"",'Jrnl Exp ~ Dép'!$C104&lt;&gt;""),1,0)</f>
        <v>0</v>
      </c>
      <c r="C601" s="146">
        <f>'Jrnl Exp ~ Dép'!$C104</f>
        <v>0</v>
      </c>
      <c r="D601" s="168">
        <f>'Jrnl Exp ~ Dép'!$D104</f>
        <v>0</v>
      </c>
      <c r="E601" s="1519">
        <f>'Jrnl Exp ~ Dép'!$F104</f>
        <v>0</v>
      </c>
      <c r="F601" s="1519"/>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2">
      <c r="B602" s="146">
        <f>IF(AND('Jrnl Exp ~ Dép'!$G105&lt;&gt;"",'Jrnl Exp ~ Dép'!$C105&lt;&gt;""),1,0)</f>
        <v>0</v>
      </c>
      <c r="C602" s="146">
        <f>'Jrnl Exp ~ Dép'!$C105</f>
        <v>0</v>
      </c>
      <c r="D602" s="168">
        <f>'Jrnl Exp ~ Dép'!$D105</f>
        <v>0</v>
      </c>
      <c r="E602" s="1519">
        <f>'Jrnl Exp ~ Dép'!$F105</f>
        <v>0</v>
      </c>
      <c r="F602" s="1519"/>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2">
      <c r="B603" s="146">
        <f>IF(AND('Jrnl Exp ~ Dép'!$G106&lt;&gt;"",'Jrnl Exp ~ Dép'!$C106&lt;&gt;""),1,0)</f>
        <v>0</v>
      </c>
      <c r="C603" s="146">
        <f>'Jrnl Exp ~ Dép'!$C106</f>
        <v>0</v>
      </c>
      <c r="D603" s="168">
        <f>'Jrnl Exp ~ Dép'!$D106</f>
        <v>0</v>
      </c>
      <c r="E603" s="1519">
        <f>'Jrnl Exp ~ Dép'!$F106</f>
        <v>0</v>
      </c>
      <c r="F603" s="1519"/>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2">
      <c r="B604" s="146">
        <f>IF(AND('Jrnl Exp ~ Dép'!$G107&lt;&gt;"",'Jrnl Exp ~ Dép'!$C107&lt;&gt;""),1,0)</f>
        <v>0</v>
      </c>
      <c r="C604" s="146">
        <f>'Jrnl Exp ~ Dép'!$C107</f>
        <v>0</v>
      </c>
      <c r="D604" s="168">
        <f>'Jrnl Exp ~ Dép'!$D107</f>
        <v>0</v>
      </c>
      <c r="E604" s="1519">
        <f>'Jrnl Exp ~ Dép'!$F107</f>
        <v>0</v>
      </c>
      <c r="F604" s="1519"/>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2">
      <c r="B605" s="146">
        <f>IF(AND('Jrnl Exp ~ Dép'!$G108&lt;&gt;"",'Jrnl Exp ~ Dép'!$C108&lt;&gt;""),1,0)</f>
        <v>0</v>
      </c>
      <c r="C605" s="146">
        <f>'Jrnl Exp ~ Dép'!$C108</f>
        <v>0</v>
      </c>
      <c r="D605" s="168">
        <f>'Jrnl Exp ~ Dép'!$D108</f>
        <v>0</v>
      </c>
      <c r="E605" s="1519">
        <f>'Jrnl Exp ~ Dép'!$F108</f>
        <v>0</v>
      </c>
      <c r="F605" s="1519"/>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2">
      <c r="B606" s="146">
        <f>IF(AND('Jrnl Exp ~ Dép'!$G109&lt;&gt;"",'Jrnl Exp ~ Dép'!$C109&lt;&gt;""),1,0)</f>
        <v>0</v>
      </c>
      <c r="C606" s="146">
        <f>'Jrnl Exp ~ Dép'!$C109</f>
        <v>0</v>
      </c>
      <c r="D606" s="168">
        <f>'Jrnl Exp ~ Dép'!$D109</f>
        <v>0</v>
      </c>
      <c r="E606" s="1519">
        <f>'Jrnl Exp ~ Dép'!$F109</f>
        <v>0</v>
      </c>
      <c r="F606" s="1519"/>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2">
      <c r="B607" s="146">
        <f>IF(AND('Jrnl Exp ~ Dép'!$G110&lt;&gt;"",'Jrnl Exp ~ Dép'!$C110&lt;&gt;""),1,0)</f>
        <v>0</v>
      </c>
      <c r="C607" s="146">
        <f>'Jrnl Exp ~ Dép'!$C110</f>
        <v>0</v>
      </c>
      <c r="D607" s="168">
        <f>'Jrnl Exp ~ Dép'!$D110</f>
        <v>0</v>
      </c>
      <c r="E607" s="1519">
        <f>'Jrnl Exp ~ Dép'!$F110</f>
        <v>0</v>
      </c>
      <c r="F607" s="1519"/>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2">
      <c r="B608" s="146">
        <f>IF(AND('Jrnl Exp ~ Dép'!$G111&lt;&gt;"",'Jrnl Exp ~ Dép'!$C111&lt;&gt;""),1,0)</f>
        <v>0</v>
      </c>
      <c r="C608" s="146">
        <f>'Jrnl Exp ~ Dép'!$C111</f>
        <v>0</v>
      </c>
      <c r="D608" s="168">
        <f>'Jrnl Exp ~ Dép'!$D111</f>
        <v>0</v>
      </c>
      <c r="E608" s="1519">
        <f>'Jrnl Exp ~ Dép'!$F111</f>
        <v>0</v>
      </c>
      <c r="F608" s="1519"/>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2">
      <c r="B609" s="146">
        <f>IF(AND('Jrnl Exp ~ Dép'!$G112&lt;&gt;"",'Jrnl Exp ~ Dép'!$C112&lt;&gt;""),1,0)</f>
        <v>0</v>
      </c>
      <c r="C609" s="146">
        <f>'Jrnl Exp ~ Dép'!$C112</f>
        <v>0</v>
      </c>
      <c r="D609" s="168">
        <f>'Jrnl Exp ~ Dép'!$D112</f>
        <v>0</v>
      </c>
      <c r="E609" s="1519">
        <f>'Jrnl Exp ~ Dép'!$F112</f>
        <v>0</v>
      </c>
      <c r="F609" s="1519"/>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2">
      <c r="B610" s="146">
        <f>IF(AND('Jrnl Exp ~ Dép'!$G113&lt;&gt;"",'Jrnl Exp ~ Dép'!$C113&lt;&gt;""),1,0)</f>
        <v>0</v>
      </c>
      <c r="C610" s="146">
        <f>'Jrnl Exp ~ Dép'!$C113</f>
        <v>0</v>
      </c>
      <c r="D610" s="168">
        <f>'Jrnl Exp ~ Dép'!$D113</f>
        <v>0</v>
      </c>
      <c r="E610" s="1519">
        <f>'Jrnl Exp ~ Dép'!$F113</f>
        <v>0</v>
      </c>
      <c r="F610" s="1519"/>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2">
      <c r="B611" s="146">
        <f>IF(AND('Jrnl Exp ~ Dép'!$G114&lt;&gt;"",'Jrnl Exp ~ Dép'!$C114&lt;&gt;""),1,0)</f>
        <v>0</v>
      </c>
      <c r="C611" s="146">
        <f>'Jrnl Exp ~ Dép'!$C114</f>
        <v>0</v>
      </c>
      <c r="D611" s="168">
        <f>'Jrnl Exp ~ Dép'!$D114</f>
        <v>0</v>
      </c>
      <c r="E611" s="1519">
        <f>'Jrnl Exp ~ Dép'!$F114</f>
        <v>0</v>
      </c>
      <c r="F611" s="1519"/>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2">
      <c r="B612" s="146">
        <f>IF(AND('Jrnl Exp ~ Dép'!$G115&lt;&gt;"",'Jrnl Exp ~ Dép'!$C115&lt;&gt;""),1,0)</f>
        <v>0</v>
      </c>
      <c r="C612" s="146">
        <f>'Jrnl Exp ~ Dép'!$C115</f>
        <v>0</v>
      </c>
      <c r="D612" s="168">
        <f>'Jrnl Exp ~ Dép'!$D115</f>
        <v>0</v>
      </c>
      <c r="E612" s="1519">
        <f>'Jrnl Exp ~ Dép'!$F115</f>
        <v>0</v>
      </c>
      <c r="F612" s="1519"/>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2">
      <c r="B613" s="146">
        <f>IF(AND('Jrnl Exp ~ Dép'!$G116&lt;&gt;"",'Jrnl Exp ~ Dép'!$C116&lt;&gt;""),1,0)</f>
        <v>0</v>
      </c>
      <c r="C613" s="146">
        <f>'Jrnl Exp ~ Dép'!$C116</f>
        <v>0</v>
      </c>
      <c r="D613" s="168">
        <f>'Jrnl Exp ~ Dép'!$D116</f>
        <v>0</v>
      </c>
      <c r="E613" s="1519">
        <f>'Jrnl Exp ~ Dép'!$F116</f>
        <v>0</v>
      </c>
      <c r="F613" s="1519"/>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2">
      <c r="B614" s="146">
        <f>IF(AND('Jrnl Exp ~ Dép'!$G117&lt;&gt;"",'Jrnl Exp ~ Dép'!$C117&lt;&gt;""),1,0)</f>
        <v>0</v>
      </c>
      <c r="C614" s="146">
        <f>'Jrnl Exp ~ Dép'!$C117</f>
        <v>0</v>
      </c>
      <c r="D614" s="168">
        <f>'Jrnl Exp ~ Dép'!$D117</f>
        <v>0</v>
      </c>
      <c r="E614" s="1519">
        <f>'Jrnl Exp ~ Dép'!$F117</f>
        <v>0</v>
      </c>
      <c r="F614" s="1519"/>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2">
      <c r="B615" s="146">
        <f>IF(AND('Jrnl Exp ~ Dép'!$G118&lt;&gt;"",'Jrnl Exp ~ Dép'!$C118&lt;&gt;""),1,0)</f>
        <v>0</v>
      </c>
      <c r="C615" s="146">
        <f>'Jrnl Exp ~ Dép'!$C118</f>
        <v>0</v>
      </c>
      <c r="D615" s="168">
        <f>'Jrnl Exp ~ Dép'!$D118</f>
        <v>0</v>
      </c>
      <c r="E615" s="1519">
        <f>'Jrnl Exp ~ Dép'!$F118</f>
        <v>0</v>
      </c>
      <c r="F615" s="1519"/>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2">
      <c r="B616" s="146">
        <f>IF(AND('Jrnl Exp ~ Dép'!$G119&lt;&gt;"",'Jrnl Exp ~ Dép'!$C119&lt;&gt;""),1,0)</f>
        <v>0</v>
      </c>
      <c r="C616" s="146">
        <f>'Jrnl Exp ~ Dép'!$C119</f>
        <v>0</v>
      </c>
      <c r="D616" s="168">
        <f>'Jrnl Exp ~ Dép'!$D119</f>
        <v>0</v>
      </c>
      <c r="E616" s="1519">
        <f>'Jrnl Exp ~ Dép'!$F119</f>
        <v>0</v>
      </c>
      <c r="F616" s="1519"/>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2">
      <c r="B617" s="146">
        <f>IF(AND('Jrnl Exp ~ Dép'!$G120&lt;&gt;"",'Jrnl Exp ~ Dép'!$C120&lt;&gt;""),1,0)</f>
        <v>0</v>
      </c>
      <c r="C617" s="146">
        <f>'Jrnl Exp ~ Dép'!$C120</f>
        <v>0</v>
      </c>
      <c r="D617" s="168">
        <f>'Jrnl Exp ~ Dép'!$D120</f>
        <v>0</v>
      </c>
      <c r="E617" s="1519">
        <f>'Jrnl Exp ~ Dép'!$F120</f>
        <v>0</v>
      </c>
      <c r="F617" s="1519"/>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2">
      <c r="B618" s="146">
        <f>IF(AND('Jrnl Exp ~ Dép'!$G121&lt;&gt;"",'Jrnl Exp ~ Dép'!$C121&lt;&gt;""),1,0)</f>
        <v>0</v>
      </c>
      <c r="C618" s="146">
        <f>'Jrnl Exp ~ Dép'!$C121</f>
        <v>0</v>
      </c>
      <c r="D618" s="168">
        <f>'Jrnl Exp ~ Dép'!$D121</f>
        <v>0</v>
      </c>
      <c r="E618" s="1519">
        <f>'Jrnl Exp ~ Dép'!$F121</f>
        <v>0</v>
      </c>
      <c r="F618" s="1519"/>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2">
      <c r="B619" s="146">
        <f>IF(AND('Jrnl Exp ~ Dép'!$G122&lt;&gt;"",'Jrnl Exp ~ Dép'!$C122&lt;&gt;""),1,0)</f>
        <v>0</v>
      </c>
      <c r="C619" s="146">
        <f>'Jrnl Exp ~ Dép'!$C122</f>
        <v>0</v>
      </c>
      <c r="D619" s="168">
        <f>'Jrnl Exp ~ Dép'!$D122</f>
        <v>0</v>
      </c>
      <c r="E619" s="1519">
        <f>'Jrnl Exp ~ Dép'!$F122</f>
        <v>0</v>
      </c>
      <c r="F619" s="1519"/>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2">
      <c r="B620" s="146">
        <f>IF(AND('Jrnl Exp ~ Dép'!$G123&lt;&gt;"",'Jrnl Exp ~ Dép'!$C123&lt;&gt;""),1,0)</f>
        <v>0</v>
      </c>
      <c r="C620" s="146">
        <f>'Jrnl Exp ~ Dép'!$C123</f>
        <v>0</v>
      </c>
      <c r="D620" s="168">
        <f>'Jrnl Exp ~ Dép'!$D123</f>
        <v>0</v>
      </c>
      <c r="E620" s="1519">
        <f>'Jrnl Exp ~ Dép'!$F123</f>
        <v>0</v>
      </c>
      <c r="F620" s="1519"/>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2">
      <c r="B621" s="146">
        <f>IF(AND('Jrnl Exp ~ Dép'!$G124&lt;&gt;"",'Jrnl Exp ~ Dép'!$C124&lt;&gt;""),1,0)</f>
        <v>0</v>
      </c>
      <c r="C621" s="146">
        <f>'Jrnl Exp ~ Dép'!$C124</f>
        <v>0</v>
      </c>
      <c r="D621" s="168">
        <f>'Jrnl Exp ~ Dép'!$D124</f>
        <v>0</v>
      </c>
      <c r="E621" s="1519">
        <f>'Jrnl Exp ~ Dép'!$F124</f>
        <v>0</v>
      </c>
      <c r="F621" s="1519"/>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2">
      <c r="B622" s="146">
        <f>IF(AND('Jrnl Exp ~ Dép'!$G125&lt;&gt;"",'Jrnl Exp ~ Dép'!$C125&lt;&gt;""),1,0)</f>
        <v>0</v>
      </c>
      <c r="C622" s="146">
        <f>'Jrnl Exp ~ Dép'!$C125</f>
        <v>0</v>
      </c>
      <c r="D622" s="168">
        <f>'Jrnl Exp ~ Dép'!$D125</f>
        <v>0</v>
      </c>
      <c r="E622" s="1519">
        <f>'Jrnl Exp ~ Dép'!$F125</f>
        <v>0</v>
      </c>
      <c r="F622" s="1519"/>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2">
      <c r="B623" s="146">
        <f>IF(AND('Jrnl Exp ~ Dép'!$G126&lt;&gt;"",'Jrnl Exp ~ Dép'!$C126&lt;&gt;""),1,0)</f>
        <v>0</v>
      </c>
      <c r="C623" s="146">
        <f>'Jrnl Exp ~ Dép'!$C126</f>
        <v>0</v>
      </c>
      <c r="D623" s="168">
        <f>'Jrnl Exp ~ Dép'!$D126</f>
        <v>0</v>
      </c>
      <c r="E623" s="1519">
        <f>'Jrnl Exp ~ Dép'!$F126</f>
        <v>0</v>
      </c>
      <c r="F623" s="1519"/>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2">
      <c r="B624" s="146">
        <f>IF(AND('Jrnl Exp ~ Dép'!$G127&lt;&gt;"",'Jrnl Exp ~ Dép'!$C127&lt;&gt;""),1,0)</f>
        <v>0</v>
      </c>
      <c r="C624" s="146">
        <f>'Jrnl Exp ~ Dép'!$C127</f>
        <v>0</v>
      </c>
      <c r="D624" s="168">
        <f>'Jrnl Exp ~ Dép'!$D127</f>
        <v>0</v>
      </c>
      <c r="E624" s="1519">
        <f>'Jrnl Exp ~ Dép'!$F127</f>
        <v>0</v>
      </c>
      <c r="F624" s="1519"/>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2">
      <c r="B625" s="146">
        <f>IF(AND('Jrnl Exp ~ Dép'!$G128&lt;&gt;"",'Jrnl Exp ~ Dép'!$C128&lt;&gt;""),1,0)</f>
        <v>0</v>
      </c>
      <c r="C625" s="146">
        <f>'Jrnl Exp ~ Dép'!$C128</f>
        <v>0</v>
      </c>
      <c r="D625" s="168">
        <f>'Jrnl Exp ~ Dép'!$D128</f>
        <v>0</v>
      </c>
      <c r="E625" s="1519">
        <f>'Jrnl Exp ~ Dép'!$F128</f>
        <v>0</v>
      </c>
      <c r="F625" s="1519"/>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2">
      <c r="B626" s="146">
        <f>IF(AND('Jrnl Exp ~ Dép'!$G129&lt;&gt;"",'Jrnl Exp ~ Dép'!$C129&lt;&gt;""),1,0)</f>
        <v>0</v>
      </c>
      <c r="C626" s="146">
        <f>'Jrnl Exp ~ Dép'!$C129</f>
        <v>0</v>
      </c>
      <c r="D626" s="168">
        <f>'Jrnl Exp ~ Dép'!$D129</f>
        <v>0</v>
      </c>
      <c r="E626" s="1519">
        <f>'Jrnl Exp ~ Dép'!$F129</f>
        <v>0</v>
      </c>
      <c r="F626" s="1519"/>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2">
      <c r="B627" s="146">
        <f>IF(AND('Jrnl Exp ~ Dép'!$G130&lt;&gt;"",'Jrnl Exp ~ Dép'!$C130&lt;&gt;""),1,0)</f>
        <v>0</v>
      </c>
      <c r="C627" s="146">
        <f>'Jrnl Exp ~ Dép'!$C130</f>
        <v>0</v>
      </c>
      <c r="D627" s="168">
        <f>'Jrnl Exp ~ Dép'!$D130</f>
        <v>0</v>
      </c>
      <c r="E627" s="1519">
        <f>'Jrnl Exp ~ Dép'!$F130</f>
        <v>0</v>
      </c>
      <c r="F627" s="1519"/>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2">
      <c r="B628" s="146">
        <f>IF(AND('Jrnl Exp ~ Dép'!$G131&lt;&gt;"",'Jrnl Exp ~ Dép'!$C131&lt;&gt;""),1,0)</f>
        <v>0</v>
      </c>
      <c r="C628" s="146">
        <f>'Jrnl Exp ~ Dép'!$C131</f>
        <v>0</v>
      </c>
      <c r="D628" s="168">
        <f>'Jrnl Exp ~ Dép'!$D131</f>
        <v>0</v>
      </c>
      <c r="E628" s="1519">
        <f>'Jrnl Exp ~ Dép'!$F131</f>
        <v>0</v>
      </c>
      <c r="F628" s="1519"/>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2">
      <c r="B629" s="146">
        <f>IF(AND('Jrnl Exp ~ Dép'!$G132&lt;&gt;"",'Jrnl Exp ~ Dép'!$C132&lt;&gt;""),1,0)</f>
        <v>0</v>
      </c>
      <c r="C629" s="146">
        <f>'Jrnl Exp ~ Dép'!$C132</f>
        <v>0</v>
      </c>
      <c r="D629" s="168">
        <f>'Jrnl Exp ~ Dép'!$D132</f>
        <v>0</v>
      </c>
      <c r="E629" s="1519">
        <f>'Jrnl Exp ~ Dép'!$F132</f>
        <v>0</v>
      </c>
      <c r="F629" s="1519"/>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2">
      <c r="B630" s="146">
        <f>IF(AND('Jrnl Exp ~ Dép'!$G133&lt;&gt;"",'Jrnl Exp ~ Dép'!$C133&lt;&gt;""),1,0)</f>
        <v>0</v>
      </c>
      <c r="C630" s="146">
        <f>'Jrnl Exp ~ Dép'!$C133</f>
        <v>0</v>
      </c>
      <c r="D630" s="168">
        <f>'Jrnl Exp ~ Dép'!$D133</f>
        <v>0</v>
      </c>
      <c r="E630" s="1519">
        <f>'Jrnl Exp ~ Dép'!$F133</f>
        <v>0</v>
      </c>
      <c r="F630" s="1519"/>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2">
      <c r="B631" s="146">
        <f>IF(AND('Jrnl Exp ~ Dép'!$G134&lt;&gt;"",'Jrnl Exp ~ Dép'!$C134&lt;&gt;""),1,0)</f>
        <v>0</v>
      </c>
      <c r="C631" s="146">
        <f>'Jrnl Exp ~ Dép'!$C134</f>
        <v>0</v>
      </c>
      <c r="D631" s="168">
        <f>'Jrnl Exp ~ Dép'!$D134</f>
        <v>0</v>
      </c>
      <c r="E631" s="1519">
        <f>'Jrnl Exp ~ Dép'!$F134</f>
        <v>0</v>
      </c>
      <c r="F631" s="1519"/>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2">
      <c r="B632" s="146">
        <f>IF(AND('Jrnl Exp ~ Dép'!$G135&lt;&gt;"",'Jrnl Exp ~ Dép'!$C135&lt;&gt;""),1,0)</f>
        <v>0</v>
      </c>
      <c r="C632" s="146">
        <f>'Jrnl Exp ~ Dép'!$C135</f>
        <v>0</v>
      </c>
      <c r="D632" s="168">
        <f>'Jrnl Exp ~ Dép'!$D135</f>
        <v>0</v>
      </c>
      <c r="E632" s="1519">
        <f>'Jrnl Exp ~ Dép'!$F135</f>
        <v>0</v>
      </c>
      <c r="F632" s="1519"/>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2">
      <c r="B633" s="146">
        <f>IF(AND('Jrnl Exp ~ Dép'!$G136&lt;&gt;"",'Jrnl Exp ~ Dép'!$C136&lt;&gt;""),1,0)</f>
        <v>0</v>
      </c>
      <c r="C633" s="146">
        <f>'Jrnl Exp ~ Dép'!$C136</f>
        <v>0</v>
      </c>
      <c r="D633" s="168">
        <f>'Jrnl Exp ~ Dép'!$D136</f>
        <v>0</v>
      </c>
      <c r="E633" s="1519">
        <f>'Jrnl Exp ~ Dép'!$F136</f>
        <v>0</v>
      </c>
      <c r="F633" s="1519"/>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2">
      <c r="B634" s="146">
        <f>IF(AND('Jrnl Exp ~ Dép'!$G137&lt;&gt;"",'Jrnl Exp ~ Dép'!$C137&lt;&gt;""),1,0)</f>
        <v>0</v>
      </c>
      <c r="C634" s="146">
        <f>'Jrnl Exp ~ Dép'!$C137</f>
        <v>0</v>
      </c>
      <c r="D634" s="168">
        <f>'Jrnl Exp ~ Dép'!$D137</f>
        <v>0</v>
      </c>
      <c r="E634" s="1519">
        <f>'Jrnl Exp ~ Dép'!$F137</f>
        <v>0</v>
      </c>
      <c r="F634" s="1519"/>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2">
      <c r="B635" s="146">
        <f>IF(AND('Jrnl Exp ~ Dép'!$G138&lt;&gt;"",'Jrnl Exp ~ Dép'!$C138&lt;&gt;""),1,0)</f>
        <v>0</v>
      </c>
      <c r="C635" s="146">
        <f>'Jrnl Exp ~ Dép'!$C138</f>
        <v>0</v>
      </c>
      <c r="D635" s="168">
        <f>'Jrnl Exp ~ Dép'!$D138</f>
        <v>0</v>
      </c>
      <c r="E635" s="1519">
        <f>'Jrnl Exp ~ Dép'!$F138</f>
        <v>0</v>
      </c>
      <c r="F635" s="1519"/>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2">
      <c r="B636" s="146">
        <f>IF(AND('Jrnl Exp ~ Dép'!$G139&lt;&gt;"",'Jrnl Exp ~ Dép'!$C139&lt;&gt;""),1,0)</f>
        <v>0</v>
      </c>
      <c r="C636" s="146">
        <f>'Jrnl Exp ~ Dép'!$C139</f>
        <v>0</v>
      </c>
      <c r="D636" s="168">
        <f>'Jrnl Exp ~ Dép'!$D139</f>
        <v>0</v>
      </c>
      <c r="E636" s="1519">
        <f>'Jrnl Exp ~ Dép'!$F139</f>
        <v>0</v>
      </c>
      <c r="F636" s="1519"/>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2">
      <c r="B637" s="146">
        <f>IF(AND('Jrnl Exp ~ Dép'!$G140&lt;&gt;"",'Jrnl Exp ~ Dép'!$C140&lt;&gt;""),1,0)</f>
        <v>0</v>
      </c>
      <c r="C637" s="146">
        <f>'Jrnl Exp ~ Dép'!$C140</f>
        <v>0</v>
      </c>
      <c r="D637" s="168">
        <f>'Jrnl Exp ~ Dép'!$D140</f>
        <v>0</v>
      </c>
      <c r="E637" s="1519">
        <f>'Jrnl Exp ~ Dép'!$F140</f>
        <v>0</v>
      </c>
      <c r="F637" s="1519"/>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2">
      <c r="B638" s="146">
        <f>IF(AND('Jrnl Exp ~ Dép'!$G141&lt;&gt;"",'Jrnl Exp ~ Dép'!$C141&lt;&gt;""),1,0)</f>
        <v>0</v>
      </c>
      <c r="C638" s="146">
        <f>'Jrnl Exp ~ Dép'!$C141</f>
        <v>0</v>
      </c>
      <c r="D638" s="168">
        <f>'Jrnl Exp ~ Dép'!$D141</f>
        <v>0</v>
      </c>
      <c r="E638" s="1519">
        <f>'Jrnl Exp ~ Dép'!$F141</f>
        <v>0</v>
      </c>
      <c r="F638" s="1519"/>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2">
      <c r="B639" s="146">
        <f>IF(AND('Jrnl Exp ~ Dép'!$G142&lt;&gt;"",'Jrnl Exp ~ Dép'!$C142&lt;&gt;""),1,0)</f>
        <v>0</v>
      </c>
      <c r="C639" s="146">
        <f>'Jrnl Exp ~ Dép'!$C142</f>
        <v>0</v>
      </c>
      <c r="D639" s="168">
        <f>'Jrnl Exp ~ Dép'!$D142</f>
        <v>0</v>
      </c>
      <c r="E639" s="1519">
        <f>'Jrnl Exp ~ Dép'!$F142</f>
        <v>0</v>
      </c>
      <c r="F639" s="1519"/>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2">
      <c r="B640" s="146">
        <f>IF(AND('Jrnl Exp ~ Dép'!$G143&lt;&gt;"",'Jrnl Exp ~ Dép'!$C143&lt;&gt;""),1,0)</f>
        <v>0</v>
      </c>
      <c r="C640" s="146">
        <f>'Jrnl Exp ~ Dép'!$C143</f>
        <v>0</v>
      </c>
      <c r="D640" s="168">
        <f>'Jrnl Exp ~ Dép'!$D143</f>
        <v>0</v>
      </c>
      <c r="E640" s="1519">
        <f>'Jrnl Exp ~ Dép'!$F143</f>
        <v>0</v>
      </c>
      <c r="F640" s="1519"/>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2">
      <c r="B641" s="146">
        <f>IF(AND('Jrnl Exp ~ Dép'!$G144&lt;&gt;"",'Jrnl Exp ~ Dép'!$C144&lt;&gt;""),1,0)</f>
        <v>0</v>
      </c>
      <c r="C641" s="146">
        <f>'Jrnl Exp ~ Dép'!$C144</f>
        <v>0</v>
      </c>
      <c r="D641" s="168">
        <f>'Jrnl Exp ~ Dép'!$D144</f>
        <v>0</v>
      </c>
      <c r="E641" s="1519">
        <f>'Jrnl Exp ~ Dép'!$F144</f>
        <v>0</v>
      </c>
      <c r="F641" s="1519"/>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2">
      <c r="B642" s="146">
        <f>IF(AND('Jrnl Exp ~ Dép'!$G145&lt;&gt;"",'Jrnl Exp ~ Dép'!$C145&lt;&gt;""),1,0)</f>
        <v>0</v>
      </c>
      <c r="C642" s="146">
        <f>'Jrnl Exp ~ Dép'!$C145</f>
        <v>0</v>
      </c>
      <c r="D642" s="168">
        <f>'Jrnl Exp ~ Dép'!$D145</f>
        <v>0</v>
      </c>
      <c r="E642" s="1519">
        <f>'Jrnl Exp ~ Dép'!$F145</f>
        <v>0</v>
      </c>
      <c r="F642" s="1519"/>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2">
      <c r="B643" s="146">
        <f>IF(AND('Jrnl Exp ~ Dép'!$G146&lt;&gt;"",'Jrnl Exp ~ Dép'!$C146&lt;&gt;""),1,0)</f>
        <v>0</v>
      </c>
      <c r="C643" s="146">
        <f>'Jrnl Exp ~ Dép'!$C146</f>
        <v>0</v>
      </c>
      <c r="D643" s="168">
        <f>'Jrnl Exp ~ Dép'!$D146</f>
        <v>0</v>
      </c>
      <c r="E643" s="1519">
        <f>'Jrnl Exp ~ Dép'!$F146</f>
        <v>0</v>
      </c>
      <c r="F643" s="1519"/>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2">
      <c r="B644" s="146">
        <f>IF(AND('Jrnl Exp ~ Dép'!$G147&lt;&gt;"",'Jrnl Exp ~ Dép'!$C147&lt;&gt;""),1,0)</f>
        <v>0</v>
      </c>
      <c r="C644" s="146">
        <f>'Jrnl Exp ~ Dép'!$C147</f>
        <v>0</v>
      </c>
      <c r="D644" s="168">
        <f>'Jrnl Exp ~ Dép'!$D147</f>
        <v>0</v>
      </c>
      <c r="E644" s="1519">
        <f>'Jrnl Exp ~ Dép'!$F147</f>
        <v>0</v>
      </c>
      <c r="F644" s="1519"/>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2">
      <c r="B645" s="146">
        <f>IF(AND('Jrnl Exp ~ Dép'!$G148&lt;&gt;"",'Jrnl Exp ~ Dép'!$C148&lt;&gt;""),1,0)</f>
        <v>0</v>
      </c>
      <c r="C645" s="146">
        <f>'Jrnl Exp ~ Dép'!$C148</f>
        <v>0</v>
      </c>
      <c r="D645" s="168">
        <f>'Jrnl Exp ~ Dép'!$D148</f>
        <v>0</v>
      </c>
      <c r="E645" s="1519">
        <f>'Jrnl Exp ~ Dép'!$F148</f>
        <v>0</v>
      </c>
      <c r="F645" s="1519"/>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2">
      <c r="B646" s="146">
        <f>IF(AND('Jrnl Exp ~ Dép'!$G149&lt;&gt;"",'Jrnl Exp ~ Dép'!$C149&lt;&gt;""),1,0)</f>
        <v>0</v>
      </c>
      <c r="C646" s="146">
        <f>'Jrnl Exp ~ Dép'!$C149</f>
        <v>0</v>
      </c>
      <c r="D646" s="168">
        <f>'Jrnl Exp ~ Dép'!$D149</f>
        <v>0</v>
      </c>
      <c r="E646" s="1519">
        <f>'Jrnl Exp ~ Dép'!$F149</f>
        <v>0</v>
      </c>
      <c r="F646" s="1519"/>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2">
      <c r="B647" s="146">
        <f>IF(AND('Jrnl Exp ~ Dép'!$G150&lt;&gt;"",'Jrnl Exp ~ Dép'!$C150&lt;&gt;""),1,0)</f>
        <v>0</v>
      </c>
      <c r="C647" s="146">
        <f>'Jrnl Exp ~ Dép'!$C150</f>
        <v>0</v>
      </c>
      <c r="D647" s="168">
        <f>'Jrnl Exp ~ Dép'!$D150</f>
        <v>0</v>
      </c>
      <c r="E647" s="1519">
        <f>'Jrnl Exp ~ Dép'!$F150</f>
        <v>0</v>
      </c>
      <c r="F647" s="1519"/>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2">
      <c r="B648" s="146">
        <f>IF(AND('Jrnl Exp ~ Dép'!$G151&lt;&gt;"",'Jrnl Exp ~ Dép'!$C151&lt;&gt;""),1,0)</f>
        <v>0</v>
      </c>
      <c r="C648" s="146">
        <f>'Jrnl Exp ~ Dép'!$C151</f>
        <v>0</v>
      </c>
      <c r="D648" s="168">
        <f>'Jrnl Exp ~ Dép'!$D151</f>
        <v>0</v>
      </c>
      <c r="E648" s="1519">
        <f>'Jrnl Exp ~ Dép'!$F151</f>
        <v>0</v>
      </c>
      <c r="F648" s="1519"/>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2">
      <c r="B649" s="146">
        <f>IF(AND('Jrnl Exp ~ Dép'!$G152&lt;&gt;"",'Jrnl Exp ~ Dép'!$C152&lt;&gt;""),1,0)</f>
        <v>0</v>
      </c>
      <c r="C649" s="146">
        <f>'Jrnl Exp ~ Dép'!$C152</f>
        <v>0</v>
      </c>
      <c r="D649" s="168">
        <f>'Jrnl Exp ~ Dép'!$D152</f>
        <v>0</v>
      </c>
      <c r="E649" s="1519">
        <f>'Jrnl Exp ~ Dép'!$F152</f>
        <v>0</v>
      </c>
      <c r="F649" s="1519"/>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2">
      <c r="B650" s="146">
        <f>IF(AND('Jrnl Exp ~ Dép'!$G153&lt;&gt;"",'Jrnl Exp ~ Dép'!$C153&lt;&gt;""),1,0)</f>
        <v>0</v>
      </c>
      <c r="C650" s="146">
        <f>'Jrnl Exp ~ Dép'!$C153</f>
        <v>0</v>
      </c>
      <c r="D650" s="168">
        <f>'Jrnl Exp ~ Dép'!$D153</f>
        <v>0</v>
      </c>
      <c r="E650" s="1519">
        <f>'Jrnl Exp ~ Dép'!$F153</f>
        <v>0</v>
      </c>
      <c r="F650" s="1519"/>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2">
      <c r="B651" s="146">
        <f>IF(AND('Jrnl Exp ~ Dép'!$G154&lt;&gt;"",'Jrnl Exp ~ Dép'!$C154&lt;&gt;""),1,0)</f>
        <v>0</v>
      </c>
      <c r="C651" s="146">
        <f>'Jrnl Exp ~ Dép'!$C154</f>
        <v>0</v>
      </c>
      <c r="D651" s="168">
        <f>'Jrnl Exp ~ Dép'!$D154</f>
        <v>0</v>
      </c>
      <c r="E651" s="1519">
        <f>'Jrnl Exp ~ Dép'!$F154</f>
        <v>0</v>
      </c>
      <c r="F651" s="1519"/>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2">
      <c r="B652" s="146">
        <f>IF(AND('Jrnl Exp ~ Dép'!$G155&lt;&gt;"",'Jrnl Exp ~ Dép'!$C155&lt;&gt;""),1,0)</f>
        <v>0</v>
      </c>
      <c r="C652" s="146">
        <f>'Jrnl Exp ~ Dép'!$C155</f>
        <v>0</v>
      </c>
      <c r="D652" s="168">
        <f>'Jrnl Exp ~ Dép'!$D155</f>
        <v>0</v>
      </c>
      <c r="E652" s="1519">
        <f>'Jrnl Exp ~ Dép'!$F155</f>
        <v>0</v>
      </c>
      <c r="F652" s="1519"/>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2">
      <c r="B653" s="146">
        <f>IF(AND('Jrnl Exp ~ Dép'!$G156&lt;&gt;"",'Jrnl Exp ~ Dép'!$C156&lt;&gt;""),1,0)</f>
        <v>0</v>
      </c>
      <c r="C653" s="146">
        <f>'Jrnl Exp ~ Dép'!$C156</f>
        <v>0</v>
      </c>
      <c r="D653" s="168">
        <f>'Jrnl Exp ~ Dép'!$D156</f>
        <v>0</v>
      </c>
      <c r="E653" s="1519">
        <f>'Jrnl Exp ~ Dép'!$F156</f>
        <v>0</v>
      </c>
      <c r="F653" s="1519"/>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2">
      <c r="B654" s="146">
        <f>IF(AND('Jrnl Exp ~ Dép'!$G157&lt;&gt;"",'Jrnl Exp ~ Dép'!$C157&lt;&gt;""),1,0)</f>
        <v>0</v>
      </c>
      <c r="C654" s="146">
        <f>'Jrnl Exp ~ Dép'!$C157</f>
        <v>0</v>
      </c>
      <c r="D654" s="168">
        <f>'Jrnl Exp ~ Dép'!$D157</f>
        <v>0</v>
      </c>
      <c r="E654" s="1519">
        <f>'Jrnl Exp ~ Dép'!$F157</f>
        <v>0</v>
      </c>
      <c r="F654" s="1519"/>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2">
      <c r="B655" s="146">
        <f>IF(AND('Jrnl Exp ~ Dép'!$G158&lt;&gt;"",'Jrnl Exp ~ Dép'!$C158&lt;&gt;""),1,0)</f>
        <v>0</v>
      </c>
      <c r="C655" s="146">
        <f>'Jrnl Exp ~ Dép'!$C158</f>
        <v>0</v>
      </c>
      <c r="D655" s="168">
        <f>'Jrnl Exp ~ Dép'!$D158</f>
        <v>0</v>
      </c>
      <c r="E655" s="1519">
        <f>'Jrnl Exp ~ Dép'!$F158</f>
        <v>0</v>
      </c>
      <c r="F655" s="1519"/>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2">
      <c r="B656" s="146">
        <f>IF(AND('Jrnl Exp ~ Dép'!$G159&lt;&gt;"",'Jrnl Exp ~ Dép'!$C159&lt;&gt;""),1,0)</f>
        <v>0</v>
      </c>
      <c r="C656" s="146">
        <f>'Jrnl Exp ~ Dép'!$C159</f>
        <v>0</v>
      </c>
      <c r="D656" s="168">
        <f>'Jrnl Exp ~ Dép'!$D159</f>
        <v>0</v>
      </c>
      <c r="E656" s="1519">
        <f>'Jrnl Exp ~ Dép'!$F159</f>
        <v>0</v>
      </c>
      <c r="F656" s="1519"/>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2">
      <c r="B657" s="146">
        <f>IF(AND('Jrnl Exp ~ Dép'!$G160&lt;&gt;"",'Jrnl Exp ~ Dép'!$C160&lt;&gt;""),1,0)</f>
        <v>0</v>
      </c>
      <c r="C657" s="146">
        <f>'Jrnl Exp ~ Dép'!$C160</f>
        <v>0</v>
      </c>
      <c r="D657" s="168">
        <f>'Jrnl Exp ~ Dép'!$D160</f>
        <v>0</v>
      </c>
      <c r="E657" s="1519">
        <f>'Jrnl Exp ~ Dép'!$F160</f>
        <v>0</v>
      </c>
      <c r="F657" s="1519"/>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2">
      <c r="B658" s="146">
        <f>IF(AND('Jrnl Exp ~ Dép'!$G161&lt;&gt;"",'Jrnl Exp ~ Dép'!$C161&lt;&gt;""),1,0)</f>
        <v>0</v>
      </c>
      <c r="C658" s="146">
        <f>'Jrnl Exp ~ Dép'!$C161</f>
        <v>0</v>
      </c>
      <c r="D658" s="168">
        <f>'Jrnl Exp ~ Dép'!$D161</f>
        <v>0</v>
      </c>
      <c r="E658" s="1519">
        <f>'Jrnl Exp ~ Dép'!$F161</f>
        <v>0</v>
      </c>
      <c r="F658" s="1519"/>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2">
      <c r="B659" s="146">
        <f>IF(AND('Jrnl Exp ~ Dép'!$G162&lt;&gt;"",'Jrnl Exp ~ Dép'!$C162&lt;&gt;""),1,0)</f>
        <v>0</v>
      </c>
      <c r="C659" s="146">
        <f>'Jrnl Exp ~ Dép'!$C162</f>
        <v>0</v>
      </c>
      <c r="D659" s="168">
        <f>'Jrnl Exp ~ Dép'!$D162</f>
        <v>0</v>
      </c>
      <c r="E659" s="1519">
        <f>'Jrnl Exp ~ Dép'!$F162</f>
        <v>0</v>
      </c>
      <c r="F659" s="1519"/>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2">
      <c r="B660" s="146">
        <f>IF(AND('Jrnl Exp ~ Dép'!$G163&lt;&gt;"",'Jrnl Exp ~ Dép'!$C163&lt;&gt;""),1,0)</f>
        <v>0</v>
      </c>
      <c r="C660" s="146">
        <f>'Jrnl Exp ~ Dép'!$C163</f>
        <v>0</v>
      </c>
      <c r="D660" s="168">
        <f>'Jrnl Exp ~ Dép'!$D163</f>
        <v>0</v>
      </c>
      <c r="E660" s="1519">
        <f>'Jrnl Exp ~ Dép'!$F163</f>
        <v>0</v>
      </c>
      <c r="F660" s="1519"/>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2">
      <c r="B661" s="146">
        <f>IF(AND('Jrnl Exp ~ Dép'!$G164&lt;&gt;"",'Jrnl Exp ~ Dép'!$C164&lt;&gt;""),1,0)</f>
        <v>0</v>
      </c>
      <c r="C661" s="146">
        <f>'Jrnl Exp ~ Dép'!$C164</f>
        <v>0</v>
      </c>
      <c r="D661" s="168">
        <f>'Jrnl Exp ~ Dép'!$D164</f>
        <v>0</v>
      </c>
      <c r="E661" s="1519">
        <f>'Jrnl Exp ~ Dép'!$F164</f>
        <v>0</v>
      </c>
      <c r="F661" s="1519"/>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2">
      <c r="B662" s="146">
        <f>IF(AND('Jrnl Exp ~ Dép'!$G165&lt;&gt;"",'Jrnl Exp ~ Dép'!$C165&lt;&gt;""),1,0)</f>
        <v>0</v>
      </c>
      <c r="C662" s="146">
        <f>'Jrnl Exp ~ Dép'!$C165</f>
        <v>0</v>
      </c>
      <c r="D662" s="168">
        <f>'Jrnl Exp ~ Dép'!$D165</f>
        <v>0</v>
      </c>
      <c r="E662" s="1519">
        <f>'Jrnl Exp ~ Dép'!$F165</f>
        <v>0</v>
      </c>
      <c r="F662" s="1519"/>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2">
      <c r="B663" s="146">
        <f>IF(AND('Jrnl Exp ~ Dép'!$G166&lt;&gt;"",'Jrnl Exp ~ Dép'!$C166&lt;&gt;""),1,0)</f>
        <v>0</v>
      </c>
      <c r="C663" s="146">
        <f>'Jrnl Exp ~ Dép'!$C166</f>
        <v>0</v>
      </c>
      <c r="D663" s="168">
        <f>'Jrnl Exp ~ Dép'!$D166</f>
        <v>0</v>
      </c>
      <c r="E663" s="1519">
        <f>'Jrnl Exp ~ Dép'!$F166</f>
        <v>0</v>
      </c>
      <c r="F663" s="1519"/>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2">
      <c r="B664" s="146">
        <f>IF(AND('Jrnl Exp ~ Dép'!$G167&lt;&gt;"",'Jrnl Exp ~ Dép'!$C167&lt;&gt;""),1,0)</f>
        <v>0</v>
      </c>
      <c r="C664" s="146">
        <f>'Jrnl Exp ~ Dép'!$C167</f>
        <v>0</v>
      </c>
      <c r="D664" s="168">
        <f>'Jrnl Exp ~ Dép'!$D167</f>
        <v>0</v>
      </c>
      <c r="E664" s="1519">
        <f>'Jrnl Exp ~ Dép'!$F167</f>
        <v>0</v>
      </c>
      <c r="F664" s="1519"/>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2">
      <c r="B665" s="146">
        <f>IF(AND('Jrnl Exp ~ Dép'!$G168&lt;&gt;"",'Jrnl Exp ~ Dép'!$C168&lt;&gt;""),1,0)</f>
        <v>0</v>
      </c>
      <c r="C665" s="146">
        <f>'Jrnl Exp ~ Dép'!$C168</f>
        <v>0</v>
      </c>
      <c r="D665" s="168">
        <f>'Jrnl Exp ~ Dép'!$D168</f>
        <v>0</v>
      </c>
      <c r="E665" s="1519">
        <f>'Jrnl Exp ~ Dép'!$F168</f>
        <v>0</v>
      </c>
      <c r="F665" s="1519"/>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2">
      <c r="B666" s="146">
        <f>IF(AND('Jrnl Exp ~ Dép'!$G169&lt;&gt;"",'Jrnl Exp ~ Dép'!$C169&lt;&gt;""),1,0)</f>
        <v>0</v>
      </c>
      <c r="C666" s="146">
        <f>'Jrnl Exp ~ Dép'!$C169</f>
        <v>0</v>
      </c>
      <c r="D666" s="168">
        <f>'Jrnl Exp ~ Dép'!$D169</f>
        <v>0</v>
      </c>
      <c r="E666" s="1519">
        <f>'Jrnl Exp ~ Dép'!$F169</f>
        <v>0</v>
      </c>
      <c r="F666" s="1519"/>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2">
      <c r="B667" s="146">
        <f>IF(AND('Jrnl Exp ~ Dép'!$G170&lt;&gt;"",'Jrnl Exp ~ Dép'!$C170&lt;&gt;""),1,0)</f>
        <v>0</v>
      </c>
      <c r="C667" s="146">
        <f>'Jrnl Exp ~ Dép'!$C170</f>
        <v>0</v>
      </c>
      <c r="D667" s="168">
        <f>'Jrnl Exp ~ Dép'!$D170</f>
        <v>0</v>
      </c>
      <c r="E667" s="1519">
        <f>'Jrnl Exp ~ Dép'!$F170</f>
        <v>0</v>
      </c>
      <c r="F667" s="1519"/>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2">
      <c r="B668" s="146">
        <f>IF(AND('Jrnl Exp ~ Dép'!$G171&lt;&gt;"",'Jrnl Exp ~ Dép'!$C171&lt;&gt;""),1,0)</f>
        <v>0</v>
      </c>
      <c r="C668" s="146">
        <f>'Jrnl Exp ~ Dép'!$C171</f>
        <v>0</v>
      </c>
      <c r="D668" s="168">
        <f>'Jrnl Exp ~ Dép'!$D171</f>
        <v>0</v>
      </c>
      <c r="E668" s="1519">
        <f>'Jrnl Exp ~ Dép'!$F171</f>
        <v>0</v>
      </c>
      <c r="F668" s="1519"/>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2">
      <c r="B669" s="146">
        <f>IF(AND('Jrnl Exp ~ Dép'!$G172&lt;&gt;"",'Jrnl Exp ~ Dép'!$C172&lt;&gt;""),1,0)</f>
        <v>0</v>
      </c>
      <c r="C669" s="146">
        <f>'Jrnl Exp ~ Dép'!$C172</f>
        <v>0</v>
      </c>
      <c r="D669" s="168">
        <f>'Jrnl Exp ~ Dép'!$D172</f>
        <v>0</v>
      </c>
      <c r="E669" s="1519">
        <f>'Jrnl Exp ~ Dép'!$F172</f>
        <v>0</v>
      </c>
      <c r="F669" s="1519"/>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2">
      <c r="B670" s="146">
        <f>IF(AND('Jrnl Exp ~ Dép'!$G173&lt;&gt;"",'Jrnl Exp ~ Dép'!$C173&lt;&gt;""),1,0)</f>
        <v>0</v>
      </c>
      <c r="C670" s="146">
        <f>'Jrnl Exp ~ Dép'!$C173</f>
        <v>0</v>
      </c>
      <c r="D670" s="168">
        <f>'Jrnl Exp ~ Dép'!$D173</f>
        <v>0</v>
      </c>
      <c r="E670" s="1519">
        <f>'Jrnl Exp ~ Dép'!$F173</f>
        <v>0</v>
      </c>
      <c r="F670" s="1519"/>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2">
      <c r="B671" s="146">
        <f>IF(AND('Jrnl Exp ~ Dép'!$G174&lt;&gt;"",'Jrnl Exp ~ Dép'!$C174&lt;&gt;""),1,0)</f>
        <v>0</v>
      </c>
      <c r="C671" s="146">
        <f>'Jrnl Exp ~ Dép'!$C174</f>
        <v>0</v>
      </c>
      <c r="D671" s="168">
        <f>'Jrnl Exp ~ Dép'!$D174</f>
        <v>0</v>
      </c>
      <c r="E671" s="1519">
        <f>'Jrnl Exp ~ Dép'!$F174</f>
        <v>0</v>
      </c>
      <c r="F671" s="1519"/>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2">
      <c r="B672" s="146">
        <f>IF(AND('Jrnl Exp ~ Dép'!$G175&lt;&gt;"",'Jrnl Exp ~ Dép'!$C175&lt;&gt;""),1,0)</f>
        <v>0</v>
      </c>
      <c r="C672" s="146">
        <f>'Jrnl Exp ~ Dép'!$C175</f>
        <v>0</v>
      </c>
      <c r="D672" s="168">
        <f>'Jrnl Exp ~ Dép'!$D175</f>
        <v>0</v>
      </c>
      <c r="E672" s="1519">
        <f>'Jrnl Exp ~ Dép'!$F175</f>
        <v>0</v>
      </c>
      <c r="F672" s="1519"/>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2">
      <c r="B673" s="146">
        <f>IF(AND('Jrnl Exp ~ Dép'!$G176&lt;&gt;"",'Jrnl Exp ~ Dép'!$C176&lt;&gt;""),1,0)</f>
        <v>0</v>
      </c>
      <c r="C673" s="146">
        <f>'Jrnl Exp ~ Dép'!$C176</f>
        <v>0</v>
      </c>
      <c r="D673" s="168">
        <f>'Jrnl Exp ~ Dép'!$D176</f>
        <v>0</v>
      </c>
      <c r="E673" s="1519">
        <f>'Jrnl Exp ~ Dép'!$F176</f>
        <v>0</v>
      </c>
      <c r="F673" s="1519"/>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2">
      <c r="B674" s="146">
        <f>IF(AND('Jrnl Exp ~ Dép'!$G177&lt;&gt;"",'Jrnl Exp ~ Dép'!$C177&lt;&gt;""),1,0)</f>
        <v>0</v>
      </c>
      <c r="C674" s="146">
        <f>'Jrnl Exp ~ Dép'!$C177</f>
        <v>0</v>
      </c>
      <c r="D674" s="168">
        <f>'Jrnl Exp ~ Dép'!$D177</f>
        <v>0</v>
      </c>
      <c r="E674" s="1519">
        <f>'Jrnl Exp ~ Dép'!$F177</f>
        <v>0</v>
      </c>
      <c r="F674" s="1519"/>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2">
      <c r="B675" s="146">
        <f>IF(AND('Jrnl Exp ~ Dép'!$G178&lt;&gt;"",'Jrnl Exp ~ Dép'!$C178&lt;&gt;""),1,0)</f>
        <v>0</v>
      </c>
      <c r="C675" s="146">
        <f>'Jrnl Exp ~ Dép'!$C178</f>
        <v>0</v>
      </c>
      <c r="D675" s="168">
        <f>'Jrnl Exp ~ Dép'!$D178</f>
        <v>0</v>
      </c>
      <c r="E675" s="1519">
        <f>'Jrnl Exp ~ Dép'!$F178</f>
        <v>0</v>
      </c>
      <c r="F675" s="1519"/>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2">
      <c r="B676" s="146">
        <f>IF(AND('Jrnl Exp ~ Dép'!$G179&lt;&gt;"",'Jrnl Exp ~ Dép'!$C179&lt;&gt;""),1,0)</f>
        <v>0</v>
      </c>
      <c r="C676" s="146">
        <f>'Jrnl Exp ~ Dép'!$C179</f>
        <v>0</v>
      </c>
      <c r="D676" s="168">
        <f>'Jrnl Exp ~ Dép'!$D179</f>
        <v>0</v>
      </c>
      <c r="E676" s="1519">
        <f>'Jrnl Exp ~ Dép'!$F179</f>
        <v>0</v>
      </c>
      <c r="F676" s="1519"/>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2">
      <c r="B677" s="146">
        <f>IF(AND('Jrnl Exp ~ Dép'!$G180&lt;&gt;"",'Jrnl Exp ~ Dép'!$C180&lt;&gt;""),1,0)</f>
        <v>0</v>
      </c>
      <c r="C677" s="146">
        <f>'Jrnl Exp ~ Dép'!$C180</f>
        <v>0</v>
      </c>
      <c r="D677" s="168">
        <f>'Jrnl Exp ~ Dép'!$D180</f>
        <v>0</v>
      </c>
      <c r="E677" s="1519">
        <f>'Jrnl Exp ~ Dép'!$F180</f>
        <v>0</v>
      </c>
      <c r="F677" s="1519"/>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2">
      <c r="B678" s="146">
        <f>IF(AND('Jrnl Exp ~ Dép'!$G181&lt;&gt;"",'Jrnl Exp ~ Dép'!$C181&lt;&gt;""),1,0)</f>
        <v>0</v>
      </c>
      <c r="C678" s="146">
        <f>'Jrnl Exp ~ Dép'!$C181</f>
        <v>0</v>
      </c>
      <c r="D678" s="168">
        <f>'Jrnl Exp ~ Dép'!$D181</f>
        <v>0</v>
      </c>
      <c r="E678" s="1519">
        <f>'Jrnl Exp ~ Dép'!$F181</f>
        <v>0</v>
      </c>
      <c r="F678" s="1519"/>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2">
      <c r="B679" s="146">
        <f>IF(AND('Jrnl Exp ~ Dép'!$G182&lt;&gt;"",'Jrnl Exp ~ Dép'!$C182&lt;&gt;""),1,0)</f>
        <v>0</v>
      </c>
      <c r="C679" s="146">
        <f>'Jrnl Exp ~ Dép'!$C182</f>
        <v>0</v>
      </c>
      <c r="D679" s="168">
        <f>'Jrnl Exp ~ Dép'!$D182</f>
        <v>0</v>
      </c>
      <c r="E679" s="1519">
        <f>'Jrnl Exp ~ Dép'!$F182</f>
        <v>0</v>
      </c>
      <c r="F679" s="1519"/>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2">
      <c r="B680" s="146">
        <f>IF(AND('Jrnl Exp ~ Dép'!$G183&lt;&gt;"",'Jrnl Exp ~ Dép'!$C183&lt;&gt;""),1,0)</f>
        <v>0</v>
      </c>
      <c r="C680" s="146">
        <f>'Jrnl Exp ~ Dép'!$C183</f>
        <v>0</v>
      </c>
      <c r="D680" s="168">
        <f>'Jrnl Exp ~ Dép'!$D183</f>
        <v>0</v>
      </c>
      <c r="E680" s="1519">
        <f>'Jrnl Exp ~ Dép'!$F183</f>
        <v>0</v>
      </c>
      <c r="F680" s="1519"/>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2">
      <c r="B681" s="146">
        <f>IF(AND('Jrnl Exp ~ Dép'!$G184&lt;&gt;"",'Jrnl Exp ~ Dép'!$C184&lt;&gt;""),1,0)</f>
        <v>0</v>
      </c>
      <c r="C681" s="146">
        <f>'Jrnl Exp ~ Dép'!$C184</f>
        <v>0</v>
      </c>
      <c r="D681" s="168">
        <f>'Jrnl Exp ~ Dép'!$D184</f>
        <v>0</v>
      </c>
      <c r="E681" s="1519">
        <f>'Jrnl Exp ~ Dép'!$F184</f>
        <v>0</v>
      </c>
      <c r="F681" s="1519"/>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2">
      <c r="B682" s="146">
        <f>IF(AND('Jrnl Exp ~ Dép'!$G185&lt;&gt;"",'Jrnl Exp ~ Dép'!$C185&lt;&gt;""),1,0)</f>
        <v>0</v>
      </c>
      <c r="C682" s="146">
        <f>'Jrnl Exp ~ Dép'!$C185</f>
        <v>0</v>
      </c>
      <c r="D682" s="168">
        <f>'Jrnl Exp ~ Dép'!$D185</f>
        <v>0</v>
      </c>
      <c r="E682" s="1519">
        <f>'Jrnl Exp ~ Dép'!$F185</f>
        <v>0</v>
      </c>
      <c r="F682" s="1519"/>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2">
      <c r="B683" s="146">
        <f>IF(AND('Jrnl Exp ~ Dép'!$G186&lt;&gt;"",'Jrnl Exp ~ Dép'!$C186&lt;&gt;""),1,0)</f>
        <v>0</v>
      </c>
      <c r="C683" s="146">
        <f>'Jrnl Exp ~ Dép'!$C186</f>
        <v>0</v>
      </c>
      <c r="D683" s="168">
        <f>'Jrnl Exp ~ Dép'!$D186</f>
        <v>0</v>
      </c>
      <c r="E683" s="1519">
        <f>'Jrnl Exp ~ Dép'!$F186</f>
        <v>0</v>
      </c>
      <c r="F683" s="1519"/>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2">
      <c r="B684" s="146">
        <f>IF(AND('Jrnl Exp ~ Dép'!$G187&lt;&gt;"",'Jrnl Exp ~ Dép'!$C187&lt;&gt;""),1,0)</f>
        <v>0</v>
      </c>
      <c r="C684" s="146">
        <f>'Jrnl Exp ~ Dép'!$C187</f>
        <v>0</v>
      </c>
      <c r="D684" s="168">
        <f>'Jrnl Exp ~ Dép'!$D187</f>
        <v>0</v>
      </c>
      <c r="E684" s="1519">
        <f>'Jrnl Exp ~ Dép'!$F187</f>
        <v>0</v>
      </c>
      <c r="F684" s="1519"/>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2">
      <c r="B685" s="146">
        <f>IF(AND('Jrnl Exp ~ Dép'!$G188&lt;&gt;"",'Jrnl Exp ~ Dép'!$C188&lt;&gt;""),1,0)</f>
        <v>0</v>
      </c>
      <c r="C685" s="146">
        <f>'Jrnl Exp ~ Dép'!$C188</f>
        <v>0</v>
      </c>
      <c r="D685" s="168">
        <f>'Jrnl Exp ~ Dép'!$D188</f>
        <v>0</v>
      </c>
      <c r="E685" s="1519">
        <f>'Jrnl Exp ~ Dép'!$F188</f>
        <v>0</v>
      </c>
      <c r="F685" s="1519"/>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2">
      <c r="B686" s="146">
        <f>IF(AND('Jrnl Exp ~ Dép'!$G189&lt;&gt;"",'Jrnl Exp ~ Dép'!$C189&lt;&gt;""),1,0)</f>
        <v>0</v>
      </c>
      <c r="C686" s="146">
        <f>'Jrnl Exp ~ Dép'!$C189</f>
        <v>0</v>
      </c>
      <c r="D686" s="168">
        <f>'Jrnl Exp ~ Dép'!$D189</f>
        <v>0</v>
      </c>
      <c r="E686" s="1519">
        <f>'Jrnl Exp ~ Dép'!$F189</f>
        <v>0</v>
      </c>
      <c r="F686" s="1519"/>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2">
      <c r="B687" s="146">
        <f>IF(AND('Jrnl Exp ~ Dép'!$G190&lt;&gt;"",'Jrnl Exp ~ Dép'!$C190&lt;&gt;""),1,0)</f>
        <v>0</v>
      </c>
      <c r="C687" s="146">
        <f>'Jrnl Exp ~ Dép'!$C190</f>
        <v>0</v>
      </c>
      <c r="D687" s="168">
        <f>'Jrnl Exp ~ Dép'!$D190</f>
        <v>0</v>
      </c>
      <c r="E687" s="1519">
        <f>'Jrnl Exp ~ Dép'!$F190</f>
        <v>0</v>
      </c>
      <c r="F687" s="1519"/>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2">
      <c r="B688" s="146">
        <f>IF(AND('Jrnl Exp ~ Dép'!$G191&lt;&gt;"",'Jrnl Exp ~ Dép'!$C191&lt;&gt;""),1,0)</f>
        <v>0</v>
      </c>
      <c r="C688" s="146">
        <f>'Jrnl Exp ~ Dép'!$C191</f>
        <v>0</v>
      </c>
      <c r="D688" s="168">
        <f>'Jrnl Exp ~ Dép'!$D191</f>
        <v>0</v>
      </c>
      <c r="E688" s="1519">
        <f>'Jrnl Exp ~ Dép'!$F191</f>
        <v>0</v>
      </c>
      <c r="F688" s="1519"/>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2">
      <c r="B689" s="146">
        <f>IF(AND('Jrnl Exp ~ Dép'!$G192&lt;&gt;"",'Jrnl Exp ~ Dép'!$C192&lt;&gt;""),1,0)</f>
        <v>0</v>
      </c>
      <c r="C689" s="146">
        <f>'Jrnl Exp ~ Dép'!$C192</f>
        <v>0</v>
      </c>
      <c r="D689" s="168">
        <f>'Jrnl Exp ~ Dép'!$D192</f>
        <v>0</v>
      </c>
      <c r="E689" s="1519">
        <f>'Jrnl Exp ~ Dép'!$F192</f>
        <v>0</v>
      </c>
      <c r="F689" s="1519"/>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2">
      <c r="B690" s="146">
        <f>IF(AND('Jrnl Exp ~ Dép'!$G193&lt;&gt;"",'Jrnl Exp ~ Dép'!$C193&lt;&gt;""),1,0)</f>
        <v>0</v>
      </c>
      <c r="C690" s="146">
        <f>'Jrnl Exp ~ Dép'!$C193</f>
        <v>0</v>
      </c>
      <c r="D690" s="168">
        <f>'Jrnl Exp ~ Dép'!$D193</f>
        <v>0</v>
      </c>
      <c r="E690" s="1519">
        <f>'Jrnl Exp ~ Dép'!$F193</f>
        <v>0</v>
      </c>
      <c r="F690" s="1519"/>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2">
      <c r="B691" s="146">
        <f>IF(AND('Jrnl Exp ~ Dép'!$G194&lt;&gt;"",'Jrnl Exp ~ Dép'!$C194&lt;&gt;""),1,0)</f>
        <v>0</v>
      </c>
      <c r="C691" s="146">
        <f>'Jrnl Exp ~ Dép'!$C194</f>
        <v>0</v>
      </c>
      <c r="D691" s="168">
        <f>'Jrnl Exp ~ Dép'!$D194</f>
        <v>0</v>
      </c>
      <c r="E691" s="1519">
        <f>'Jrnl Exp ~ Dép'!$F194</f>
        <v>0</v>
      </c>
      <c r="F691" s="1519"/>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2">
      <c r="B692" s="146">
        <f>IF(AND('Jrnl Exp ~ Dép'!$G195&lt;&gt;"",'Jrnl Exp ~ Dép'!$C195&lt;&gt;""),1,0)</f>
        <v>0</v>
      </c>
      <c r="C692" s="146">
        <f>'Jrnl Exp ~ Dép'!$C195</f>
        <v>0</v>
      </c>
      <c r="D692" s="168">
        <f>'Jrnl Exp ~ Dép'!$D195</f>
        <v>0</v>
      </c>
      <c r="E692" s="1519">
        <f>'Jrnl Exp ~ Dép'!$F195</f>
        <v>0</v>
      </c>
      <c r="F692" s="1519"/>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2">
      <c r="B693" s="146">
        <f>IF(AND('Jrnl Exp ~ Dép'!$G196&lt;&gt;"",'Jrnl Exp ~ Dép'!$C196&lt;&gt;""),1,0)</f>
        <v>0</v>
      </c>
      <c r="C693" s="146">
        <f>'Jrnl Exp ~ Dép'!$C196</f>
        <v>0</v>
      </c>
      <c r="D693" s="168">
        <f>'Jrnl Exp ~ Dép'!$D196</f>
        <v>0</v>
      </c>
      <c r="E693" s="1519">
        <f>'Jrnl Exp ~ Dép'!$F196</f>
        <v>0</v>
      </c>
      <c r="F693" s="1519"/>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2">
      <c r="B694" s="146">
        <f>IF(AND('Jrnl Exp ~ Dép'!$G197&lt;&gt;"",'Jrnl Exp ~ Dép'!$C197&lt;&gt;""),1,0)</f>
        <v>0</v>
      </c>
      <c r="C694" s="146">
        <f>'Jrnl Exp ~ Dép'!$C197</f>
        <v>0</v>
      </c>
      <c r="D694" s="168">
        <f>'Jrnl Exp ~ Dép'!$D197</f>
        <v>0</v>
      </c>
      <c r="E694" s="1519">
        <f>'Jrnl Exp ~ Dép'!$F197</f>
        <v>0</v>
      </c>
      <c r="F694" s="1519"/>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2">
      <c r="B695" s="146">
        <f>IF(AND('Jrnl Exp ~ Dép'!$G198&lt;&gt;"",'Jrnl Exp ~ Dép'!$C198&lt;&gt;""),1,0)</f>
        <v>0</v>
      </c>
      <c r="C695" s="146">
        <f>'Jrnl Exp ~ Dép'!$C198</f>
        <v>0</v>
      </c>
      <c r="D695" s="168">
        <f>'Jrnl Exp ~ Dép'!$D198</f>
        <v>0</v>
      </c>
      <c r="E695" s="1519">
        <f>'Jrnl Exp ~ Dép'!$F198</f>
        <v>0</v>
      </c>
      <c r="F695" s="1519"/>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2">
      <c r="B696" s="146">
        <f>IF(AND('Jrnl Exp ~ Dép'!$G199&lt;&gt;"",'Jrnl Exp ~ Dép'!$C199&lt;&gt;""),1,0)</f>
        <v>0</v>
      </c>
      <c r="C696" s="146">
        <f>'Jrnl Exp ~ Dép'!$C199</f>
        <v>0</v>
      </c>
      <c r="D696" s="168">
        <f>'Jrnl Exp ~ Dép'!$D199</f>
        <v>0</v>
      </c>
      <c r="E696" s="1519">
        <f>'Jrnl Exp ~ Dép'!$F199</f>
        <v>0</v>
      </c>
      <c r="F696" s="1519"/>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2">
      <c r="B697" s="146">
        <f>IF(AND('Jrnl Exp ~ Dép'!$G200&lt;&gt;"",'Jrnl Exp ~ Dép'!$C200&lt;&gt;""),1,0)</f>
        <v>0</v>
      </c>
      <c r="C697" s="146">
        <f>'Jrnl Exp ~ Dép'!$C200</f>
        <v>0</v>
      </c>
      <c r="D697" s="168">
        <f>'Jrnl Exp ~ Dép'!$D200</f>
        <v>0</v>
      </c>
      <c r="E697" s="1519">
        <f>'Jrnl Exp ~ Dép'!$F200</f>
        <v>0</v>
      </c>
      <c r="F697" s="1519"/>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2">
      <c r="B698" s="146">
        <f>IF(AND('Jrnl Exp ~ Dép'!$G201&lt;&gt;"",'Jrnl Exp ~ Dép'!$C201&lt;&gt;""),1,0)</f>
        <v>0</v>
      </c>
      <c r="C698" s="146">
        <f>'Jrnl Exp ~ Dép'!$C201</f>
        <v>0</v>
      </c>
      <c r="D698" s="168">
        <f>'Jrnl Exp ~ Dép'!$D201</f>
        <v>0</v>
      </c>
      <c r="E698" s="1519">
        <f>'Jrnl Exp ~ Dép'!$F201</f>
        <v>0</v>
      </c>
      <c r="F698" s="1519"/>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2">
      <c r="B699" s="146">
        <f>IF(AND('Jrnl Exp ~ Dép'!$G202&lt;&gt;"",'Jrnl Exp ~ Dép'!$C202&lt;&gt;""),1,0)</f>
        <v>0</v>
      </c>
      <c r="C699" s="146">
        <f>'Jrnl Exp ~ Dép'!$C202</f>
        <v>0</v>
      </c>
      <c r="D699" s="168">
        <f>'Jrnl Exp ~ Dép'!$D202</f>
        <v>0</v>
      </c>
      <c r="E699" s="1519">
        <f>'Jrnl Exp ~ Dép'!$F202</f>
        <v>0</v>
      </c>
      <c r="F699" s="1519"/>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2">
      <c r="B700" s="146">
        <f>IF(AND('Jrnl Exp ~ Dép'!$G203&lt;&gt;"",'Jrnl Exp ~ Dép'!$C203&lt;&gt;""),1,0)</f>
        <v>0</v>
      </c>
      <c r="C700" s="146">
        <f>'Jrnl Exp ~ Dép'!$C203</f>
        <v>0</v>
      </c>
      <c r="D700" s="168">
        <f>'Jrnl Exp ~ Dép'!$D203</f>
        <v>0</v>
      </c>
      <c r="E700" s="1519">
        <f>'Jrnl Exp ~ Dép'!$F203</f>
        <v>0</v>
      </c>
      <c r="F700" s="1519"/>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2">
      <c r="B701" s="146">
        <f>IF(AND('Jrnl Exp ~ Dép'!$G204&lt;&gt;"",'Jrnl Exp ~ Dép'!$C204&lt;&gt;""),1,0)</f>
        <v>0</v>
      </c>
      <c r="C701" s="146">
        <f>'Jrnl Exp ~ Dép'!$C204</f>
        <v>0</v>
      </c>
      <c r="D701" s="168">
        <f>'Jrnl Exp ~ Dép'!$D204</f>
        <v>0</v>
      </c>
      <c r="E701" s="1519">
        <f>'Jrnl Exp ~ Dép'!$F204</f>
        <v>0</v>
      </c>
      <c r="F701" s="1519"/>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2">
      <c r="B702" s="146">
        <f>IF(AND('Jrnl Exp ~ Dép'!$G205&lt;&gt;"",'Jrnl Exp ~ Dép'!$C205&lt;&gt;""),1,0)</f>
        <v>0</v>
      </c>
      <c r="C702" s="146">
        <f>'Jrnl Exp ~ Dép'!$C205</f>
        <v>0</v>
      </c>
      <c r="D702" s="168">
        <f>'Jrnl Exp ~ Dép'!$D205</f>
        <v>0</v>
      </c>
      <c r="E702" s="1519">
        <f>'Jrnl Exp ~ Dép'!$F205</f>
        <v>0</v>
      </c>
      <c r="F702" s="1519"/>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2">
      <c r="B703" s="146">
        <f>IF(AND('Jrnl Exp ~ Dép'!$G206&lt;&gt;"",'Jrnl Exp ~ Dép'!$C206&lt;&gt;""),1,0)</f>
        <v>0</v>
      </c>
      <c r="C703" s="146">
        <f>'Jrnl Exp ~ Dép'!$C206</f>
        <v>0</v>
      </c>
      <c r="D703" s="168">
        <f>'Jrnl Exp ~ Dép'!$D206</f>
        <v>0</v>
      </c>
      <c r="E703" s="1519">
        <f>'Jrnl Exp ~ Dép'!$F206</f>
        <v>0</v>
      </c>
      <c r="F703" s="1519"/>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2">
      <c r="B704" s="146">
        <f>IF(AND('Jrnl Exp ~ Dép'!$G207&lt;&gt;"",'Jrnl Exp ~ Dép'!$C207&lt;&gt;""),1,0)</f>
        <v>0</v>
      </c>
      <c r="C704" s="146">
        <f>'Jrnl Exp ~ Dép'!$C207</f>
        <v>0</v>
      </c>
      <c r="D704" s="168">
        <f>'Jrnl Exp ~ Dép'!$D207</f>
        <v>0</v>
      </c>
      <c r="E704" s="1519">
        <f>'Jrnl Exp ~ Dép'!$F207</f>
        <v>0</v>
      </c>
      <c r="F704" s="1519"/>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2">
      <c r="B705" s="146">
        <f>IF(AND('Jrnl Exp ~ Dép'!$G208&lt;&gt;"",'Jrnl Exp ~ Dép'!$C208&lt;&gt;""),1,0)</f>
        <v>0</v>
      </c>
      <c r="C705" s="146">
        <f>'Jrnl Exp ~ Dép'!$C208</f>
        <v>0</v>
      </c>
      <c r="D705" s="168">
        <f>'Jrnl Exp ~ Dép'!$D208</f>
        <v>0</v>
      </c>
      <c r="E705" s="1519">
        <f>'Jrnl Exp ~ Dép'!$F208</f>
        <v>0</v>
      </c>
      <c r="F705" s="1519"/>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2">
      <c r="B706" s="146">
        <f>IF(AND('Jrnl Exp ~ Dép'!$G209&lt;&gt;"",'Jrnl Exp ~ Dép'!$C209&lt;&gt;""),1,0)</f>
        <v>0</v>
      </c>
      <c r="C706" s="146">
        <f>'Jrnl Exp ~ Dép'!$C209</f>
        <v>0</v>
      </c>
      <c r="D706" s="168">
        <f>'Jrnl Exp ~ Dép'!$D209</f>
        <v>0</v>
      </c>
      <c r="E706" s="1519">
        <f>'Jrnl Exp ~ Dép'!$F209</f>
        <v>0</v>
      </c>
      <c r="F706" s="1519"/>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2">
      <c r="B707" s="146">
        <f>IF(AND('Jrnl Exp ~ Dép'!$G210&lt;&gt;"",'Jrnl Exp ~ Dép'!$C210&lt;&gt;""),1,0)</f>
        <v>0</v>
      </c>
      <c r="C707" s="146">
        <f>'Jrnl Exp ~ Dép'!$C210</f>
        <v>0</v>
      </c>
      <c r="D707" s="168">
        <f>'Jrnl Exp ~ Dép'!$D210</f>
        <v>0</v>
      </c>
      <c r="E707" s="1519">
        <f>'Jrnl Exp ~ Dép'!$F210</f>
        <v>0</v>
      </c>
      <c r="F707" s="1519"/>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2">
      <c r="B708" s="146">
        <f>IF(AND('Jrnl Exp ~ Dép'!$G211&lt;&gt;"",'Jrnl Exp ~ Dép'!$C211&lt;&gt;""),1,0)</f>
        <v>0</v>
      </c>
      <c r="C708" s="146">
        <f>'Jrnl Exp ~ Dép'!$C211</f>
        <v>0</v>
      </c>
      <c r="D708" s="168">
        <f>'Jrnl Exp ~ Dép'!$D211</f>
        <v>0</v>
      </c>
      <c r="E708" s="1519">
        <f>'Jrnl Exp ~ Dép'!$F211</f>
        <v>0</v>
      </c>
      <c r="F708" s="1519"/>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2">
      <c r="B709" s="146">
        <f>IF(AND('Jrnl Exp ~ Dép'!$G212&lt;&gt;"",'Jrnl Exp ~ Dép'!$C212&lt;&gt;""),1,0)</f>
        <v>0</v>
      </c>
      <c r="C709" s="146">
        <f>'Jrnl Exp ~ Dép'!$C212</f>
        <v>0</v>
      </c>
      <c r="D709" s="168">
        <f>'Jrnl Exp ~ Dép'!$D212</f>
        <v>0</v>
      </c>
      <c r="E709" s="1519">
        <f>'Jrnl Exp ~ Dép'!$F212</f>
        <v>0</v>
      </c>
      <c r="F709" s="1519"/>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2">
      <c r="B710" s="146">
        <f>IF(AND('Jrnl Exp ~ Dép'!$G213&lt;&gt;"",'Jrnl Exp ~ Dép'!$C213&lt;&gt;""),1,0)</f>
        <v>0</v>
      </c>
      <c r="C710" s="146">
        <f>'Jrnl Exp ~ Dép'!$C213</f>
        <v>0</v>
      </c>
      <c r="D710" s="168">
        <f>'Jrnl Exp ~ Dép'!$D213</f>
        <v>0</v>
      </c>
      <c r="E710" s="1519">
        <f>'Jrnl Exp ~ Dép'!$F213</f>
        <v>0</v>
      </c>
      <c r="F710" s="1519"/>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2">
      <c r="B711" s="146">
        <f>IF(AND('Jrnl Exp ~ Dép'!$G214&lt;&gt;"",'Jrnl Exp ~ Dép'!$C214&lt;&gt;""),1,0)</f>
        <v>0</v>
      </c>
      <c r="C711" s="146">
        <f>'Jrnl Exp ~ Dép'!$C214</f>
        <v>0</v>
      </c>
      <c r="D711" s="168">
        <f>'Jrnl Exp ~ Dép'!$D214</f>
        <v>0</v>
      </c>
      <c r="E711" s="1519">
        <f>'Jrnl Exp ~ Dép'!$F214</f>
        <v>0</v>
      </c>
      <c r="F711" s="1519"/>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2">
      <c r="B712" s="146">
        <f>IF(AND('Jrnl Exp ~ Dép'!$G215&lt;&gt;"",'Jrnl Exp ~ Dép'!$C215&lt;&gt;""),1,0)</f>
        <v>0</v>
      </c>
      <c r="C712" s="146">
        <f>'Jrnl Exp ~ Dép'!$C215</f>
        <v>0</v>
      </c>
      <c r="D712" s="168">
        <f>'Jrnl Exp ~ Dép'!$D215</f>
        <v>0</v>
      </c>
      <c r="E712" s="1519">
        <f>'Jrnl Exp ~ Dép'!$F215</f>
        <v>0</v>
      </c>
      <c r="F712" s="1519"/>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2">
      <c r="B713" s="146">
        <f>IF(AND('Jrnl Exp ~ Dép'!$G216&lt;&gt;"",'Jrnl Exp ~ Dép'!$C216&lt;&gt;""),1,0)</f>
        <v>0</v>
      </c>
      <c r="C713" s="146">
        <f>'Jrnl Exp ~ Dép'!$C216</f>
        <v>0</v>
      </c>
      <c r="D713" s="168">
        <f>'Jrnl Exp ~ Dép'!$D216</f>
        <v>0</v>
      </c>
      <c r="E713" s="1519">
        <f>'Jrnl Exp ~ Dép'!$F216</f>
        <v>0</v>
      </c>
      <c r="F713" s="1519"/>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2">
      <c r="B714" s="146">
        <f>IF(AND('Jrnl Exp ~ Dép'!$G217&lt;&gt;"",'Jrnl Exp ~ Dép'!$C217&lt;&gt;""),1,0)</f>
        <v>0</v>
      </c>
      <c r="C714" s="146">
        <f>'Jrnl Exp ~ Dép'!$C217</f>
        <v>0</v>
      </c>
      <c r="D714" s="168">
        <f>'Jrnl Exp ~ Dép'!$D217</f>
        <v>0</v>
      </c>
      <c r="E714" s="1519">
        <f>'Jrnl Exp ~ Dép'!$F217</f>
        <v>0</v>
      </c>
      <c r="F714" s="1519"/>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2">
      <c r="B715" s="146">
        <f>IF(AND('Jrnl Exp ~ Dép'!$G218&lt;&gt;"",'Jrnl Exp ~ Dép'!$C218&lt;&gt;""),1,0)</f>
        <v>0</v>
      </c>
      <c r="C715" s="146">
        <f>'Jrnl Exp ~ Dép'!$C218</f>
        <v>0</v>
      </c>
      <c r="D715" s="168">
        <f>'Jrnl Exp ~ Dép'!$D218</f>
        <v>0</v>
      </c>
      <c r="E715" s="1519">
        <f>'Jrnl Exp ~ Dép'!$F218</f>
        <v>0</v>
      </c>
      <c r="F715" s="1519"/>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2">
      <c r="B716" s="146">
        <f>IF(AND('Jrnl Exp ~ Dép'!$G219&lt;&gt;"",'Jrnl Exp ~ Dép'!$C219&lt;&gt;""),1,0)</f>
        <v>0</v>
      </c>
      <c r="C716" s="146">
        <f>'Jrnl Exp ~ Dép'!$C219</f>
        <v>0</v>
      </c>
      <c r="D716" s="168">
        <f>'Jrnl Exp ~ Dép'!$D219</f>
        <v>0</v>
      </c>
      <c r="E716" s="1519">
        <f>'Jrnl Exp ~ Dép'!$F219</f>
        <v>0</v>
      </c>
      <c r="F716" s="1519"/>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2">
      <c r="B717" s="146">
        <f>IF(AND('Jrnl Exp ~ Dép'!$G220&lt;&gt;"",'Jrnl Exp ~ Dép'!$C220&lt;&gt;""),1,0)</f>
        <v>0</v>
      </c>
      <c r="C717" s="146">
        <f>'Jrnl Exp ~ Dép'!$C220</f>
        <v>0</v>
      </c>
      <c r="D717" s="168">
        <f>'Jrnl Exp ~ Dép'!$D220</f>
        <v>0</v>
      </c>
      <c r="E717" s="1519">
        <f>'Jrnl Exp ~ Dép'!$F220</f>
        <v>0</v>
      </c>
      <c r="F717" s="1519"/>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2">
      <c r="B718" s="146">
        <f>IF(AND('Jrnl Exp ~ Dép'!$G221&lt;&gt;"",'Jrnl Exp ~ Dép'!$C221&lt;&gt;""),1,0)</f>
        <v>0</v>
      </c>
      <c r="C718" s="146">
        <f>'Jrnl Exp ~ Dép'!$C221</f>
        <v>0</v>
      </c>
      <c r="D718" s="168">
        <f>'Jrnl Exp ~ Dép'!$D221</f>
        <v>0</v>
      </c>
      <c r="E718" s="1519">
        <f>'Jrnl Exp ~ Dép'!$F221</f>
        <v>0</v>
      </c>
      <c r="F718" s="1519"/>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2">
      <c r="B719" s="146">
        <f>IF(AND('Jrnl Exp ~ Dép'!$G222&lt;&gt;"",'Jrnl Exp ~ Dép'!$C222&lt;&gt;""),1,0)</f>
        <v>0</v>
      </c>
      <c r="C719" s="146">
        <f>'Jrnl Exp ~ Dép'!$C222</f>
        <v>0</v>
      </c>
      <c r="D719" s="168">
        <f>'Jrnl Exp ~ Dép'!$D222</f>
        <v>0</v>
      </c>
      <c r="E719" s="1519">
        <f>'Jrnl Exp ~ Dép'!$F222</f>
        <v>0</v>
      </c>
      <c r="F719" s="1519"/>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2">
      <c r="B720" s="146">
        <f>IF(AND('Jrnl Exp ~ Dép'!$G223&lt;&gt;"",'Jrnl Exp ~ Dép'!$C223&lt;&gt;""),1,0)</f>
        <v>0</v>
      </c>
      <c r="C720" s="146">
        <f>'Jrnl Exp ~ Dép'!$C223</f>
        <v>0</v>
      </c>
      <c r="D720" s="168">
        <f>'Jrnl Exp ~ Dép'!$D223</f>
        <v>0</v>
      </c>
      <c r="E720" s="1519">
        <f>'Jrnl Exp ~ Dép'!$F223</f>
        <v>0</v>
      </c>
      <c r="F720" s="1519"/>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2">
      <c r="B721" s="146">
        <f>IF(AND('Jrnl Exp ~ Dép'!$G224&lt;&gt;"",'Jrnl Exp ~ Dép'!$C224&lt;&gt;""),1,0)</f>
        <v>0</v>
      </c>
      <c r="C721" s="146">
        <f>'Jrnl Exp ~ Dép'!$C224</f>
        <v>0</v>
      </c>
      <c r="D721" s="168">
        <f>'Jrnl Exp ~ Dép'!$D224</f>
        <v>0</v>
      </c>
      <c r="E721" s="1519">
        <f>'Jrnl Exp ~ Dép'!$F224</f>
        <v>0</v>
      </c>
      <c r="F721" s="1519"/>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2">
      <c r="B722" s="146">
        <f>IF(AND('Jrnl Exp ~ Dép'!$G225&lt;&gt;"",'Jrnl Exp ~ Dép'!$C225&lt;&gt;""),1,0)</f>
        <v>0</v>
      </c>
      <c r="C722" s="146">
        <f>'Jrnl Exp ~ Dép'!$C225</f>
        <v>0</v>
      </c>
      <c r="D722" s="168">
        <f>'Jrnl Exp ~ Dép'!$D225</f>
        <v>0</v>
      </c>
      <c r="E722" s="1519">
        <f>'Jrnl Exp ~ Dép'!$F225</f>
        <v>0</v>
      </c>
      <c r="F722" s="1519"/>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2">
      <c r="B723" s="146">
        <f>IF(AND('Jrnl Exp ~ Dép'!$G226&lt;&gt;"",'Jrnl Exp ~ Dép'!$C226&lt;&gt;""),1,0)</f>
        <v>0</v>
      </c>
      <c r="C723" s="146">
        <f>'Jrnl Exp ~ Dép'!$C226</f>
        <v>0</v>
      </c>
      <c r="D723" s="168">
        <f>'Jrnl Exp ~ Dép'!$D226</f>
        <v>0</v>
      </c>
      <c r="E723" s="1519">
        <f>'Jrnl Exp ~ Dép'!$F226</f>
        <v>0</v>
      </c>
      <c r="F723" s="1519"/>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2">
      <c r="B724" s="146">
        <f>IF(AND('Jrnl Exp ~ Dép'!$G227&lt;&gt;"",'Jrnl Exp ~ Dép'!$C227&lt;&gt;""),1,0)</f>
        <v>0</v>
      </c>
      <c r="C724" s="146">
        <f>'Jrnl Exp ~ Dép'!$C227</f>
        <v>0</v>
      </c>
      <c r="D724" s="168">
        <f>'Jrnl Exp ~ Dép'!$D227</f>
        <v>0</v>
      </c>
      <c r="E724" s="1519">
        <f>'Jrnl Exp ~ Dép'!$F227</f>
        <v>0</v>
      </c>
      <c r="F724" s="1519"/>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2">
      <c r="B725" s="146">
        <f>IF(AND('Jrnl Exp ~ Dép'!$G228&lt;&gt;"",'Jrnl Exp ~ Dép'!$C228&lt;&gt;""),1,0)</f>
        <v>0</v>
      </c>
      <c r="C725" s="146">
        <f>'Jrnl Exp ~ Dép'!$C228</f>
        <v>0</v>
      </c>
      <c r="D725" s="168">
        <f>'Jrnl Exp ~ Dép'!$D228</f>
        <v>0</v>
      </c>
      <c r="E725" s="1519">
        <f>'Jrnl Exp ~ Dép'!$F228</f>
        <v>0</v>
      </c>
      <c r="F725" s="1519"/>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2">
      <c r="B726" s="146">
        <f>IF(AND('Jrnl Exp ~ Dép'!$G229&lt;&gt;"",'Jrnl Exp ~ Dép'!$C229&lt;&gt;""),1,0)</f>
        <v>0</v>
      </c>
      <c r="C726" s="146">
        <f>'Jrnl Exp ~ Dép'!$C229</f>
        <v>0</v>
      </c>
      <c r="D726" s="168">
        <f>'Jrnl Exp ~ Dép'!$D229</f>
        <v>0</v>
      </c>
      <c r="E726" s="1519">
        <f>'Jrnl Exp ~ Dép'!$F229</f>
        <v>0</v>
      </c>
      <c r="F726" s="1519"/>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2">
      <c r="B727" s="146">
        <f>IF(AND('Jrnl Exp ~ Dép'!$G230&lt;&gt;"",'Jrnl Exp ~ Dép'!$C230&lt;&gt;""),1,0)</f>
        <v>0</v>
      </c>
      <c r="C727" s="146">
        <f>'Jrnl Exp ~ Dép'!$C230</f>
        <v>0</v>
      </c>
      <c r="D727" s="168">
        <f>'Jrnl Exp ~ Dép'!$D230</f>
        <v>0</v>
      </c>
      <c r="E727" s="1519">
        <f>'Jrnl Exp ~ Dép'!$F230</f>
        <v>0</v>
      </c>
      <c r="F727" s="1519"/>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2">
      <c r="B728" s="146">
        <f>IF(AND('Jrnl Exp ~ Dép'!$G231&lt;&gt;"",'Jrnl Exp ~ Dép'!$C231&lt;&gt;""),1,0)</f>
        <v>0</v>
      </c>
      <c r="C728" s="146">
        <f>'Jrnl Exp ~ Dép'!$C231</f>
        <v>0</v>
      </c>
      <c r="D728" s="168">
        <f>'Jrnl Exp ~ Dép'!$D231</f>
        <v>0</v>
      </c>
      <c r="E728" s="1519">
        <f>'Jrnl Exp ~ Dép'!$F231</f>
        <v>0</v>
      </c>
      <c r="F728" s="1519"/>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2">
      <c r="B729" s="146">
        <f>IF(AND('Jrnl Exp ~ Dép'!$G232&lt;&gt;"",'Jrnl Exp ~ Dép'!$C232&lt;&gt;""),1,0)</f>
        <v>0</v>
      </c>
      <c r="C729" s="146">
        <f>'Jrnl Exp ~ Dép'!$C232</f>
        <v>0</v>
      </c>
      <c r="D729" s="168">
        <f>'Jrnl Exp ~ Dép'!$D232</f>
        <v>0</v>
      </c>
      <c r="E729" s="1519">
        <f>'Jrnl Exp ~ Dép'!$F232</f>
        <v>0</v>
      </c>
      <c r="F729" s="1519"/>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2">
      <c r="B730" s="146">
        <f>IF(AND('Jrnl Exp ~ Dép'!$G233&lt;&gt;"",'Jrnl Exp ~ Dép'!$C233&lt;&gt;""),1,0)</f>
        <v>0</v>
      </c>
      <c r="C730" s="146">
        <f>'Jrnl Exp ~ Dép'!$C233</f>
        <v>0</v>
      </c>
      <c r="D730" s="168">
        <f>'Jrnl Exp ~ Dép'!$D233</f>
        <v>0</v>
      </c>
      <c r="E730" s="1519">
        <f>'Jrnl Exp ~ Dép'!$F233</f>
        <v>0</v>
      </c>
      <c r="F730" s="1519"/>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2">
      <c r="B731" s="146">
        <f>IF(AND('Jrnl Exp ~ Dép'!$G234&lt;&gt;"",'Jrnl Exp ~ Dép'!$C234&lt;&gt;""),1,0)</f>
        <v>0</v>
      </c>
      <c r="C731" s="146">
        <f>'Jrnl Exp ~ Dép'!$C234</f>
        <v>0</v>
      </c>
      <c r="D731" s="168">
        <f>'Jrnl Exp ~ Dép'!$D234</f>
        <v>0</v>
      </c>
      <c r="E731" s="1519">
        <f>'Jrnl Exp ~ Dép'!$F234</f>
        <v>0</v>
      </c>
      <c r="F731" s="1519"/>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2">
      <c r="B732" s="146">
        <f>IF(AND('Jrnl Exp ~ Dép'!$G235&lt;&gt;"",'Jrnl Exp ~ Dép'!$C235&lt;&gt;""),1,0)</f>
        <v>0</v>
      </c>
      <c r="C732" s="146">
        <f>'Jrnl Exp ~ Dép'!$C235</f>
        <v>0</v>
      </c>
      <c r="D732" s="168">
        <f>'Jrnl Exp ~ Dép'!$D235</f>
        <v>0</v>
      </c>
      <c r="E732" s="1519">
        <f>'Jrnl Exp ~ Dép'!$F235</f>
        <v>0</v>
      </c>
      <c r="F732" s="1519"/>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2">
      <c r="B733" s="146">
        <f>IF(AND('Jrnl Exp ~ Dép'!$G236&lt;&gt;"",'Jrnl Exp ~ Dép'!$C236&lt;&gt;""),1,0)</f>
        <v>0</v>
      </c>
      <c r="C733" s="146">
        <f>'Jrnl Exp ~ Dép'!$C236</f>
        <v>0</v>
      </c>
      <c r="D733" s="168">
        <f>'Jrnl Exp ~ Dép'!$D236</f>
        <v>0</v>
      </c>
      <c r="E733" s="1519">
        <f>'Jrnl Exp ~ Dép'!$F236</f>
        <v>0</v>
      </c>
      <c r="F733" s="1519"/>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2">
      <c r="B734" s="146">
        <f>IF(AND('Jrnl Exp ~ Dép'!$G237&lt;&gt;"",'Jrnl Exp ~ Dép'!$C237&lt;&gt;""),1,0)</f>
        <v>0</v>
      </c>
      <c r="C734" s="146">
        <f>'Jrnl Exp ~ Dép'!$C237</f>
        <v>0</v>
      </c>
      <c r="D734" s="168">
        <f>'Jrnl Exp ~ Dép'!$D237</f>
        <v>0</v>
      </c>
      <c r="E734" s="1519">
        <f>'Jrnl Exp ~ Dép'!$F237</f>
        <v>0</v>
      </c>
      <c r="F734" s="1519"/>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2">
      <c r="B735" s="146">
        <f>IF(AND('Jrnl Exp ~ Dép'!$G238&lt;&gt;"",'Jrnl Exp ~ Dép'!$C238&lt;&gt;""),1,0)</f>
        <v>0</v>
      </c>
      <c r="C735" s="146">
        <f>'Jrnl Exp ~ Dép'!$C238</f>
        <v>0</v>
      </c>
      <c r="D735" s="168">
        <f>'Jrnl Exp ~ Dép'!$D238</f>
        <v>0</v>
      </c>
      <c r="E735" s="1519">
        <f>'Jrnl Exp ~ Dép'!$F238</f>
        <v>0</v>
      </c>
      <c r="F735" s="1519"/>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2">
      <c r="B736" s="146">
        <f>IF(AND('Jrnl Exp ~ Dép'!$G239&lt;&gt;"",'Jrnl Exp ~ Dép'!$C239&lt;&gt;""),1,0)</f>
        <v>0</v>
      </c>
      <c r="C736" s="146">
        <f>'Jrnl Exp ~ Dép'!$C239</f>
        <v>0</v>
      </c>
      <c r="D736" s="168">
        <f>'Jrnl Exp ~ Dép'!$D239</f>
        <v>0</v>
      </c>
      <c r="E736" s="1519">
        <f>'Jrnl Exp ~ Dép'!$F239</f>
        <v>0</v>
      </c>
      <c r="F736" s="1519"/>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2">
      <c r="B737" s="146">
        <f>IF(AND('Jrnl Exp ~ Dép'!$G240&lt;&gt;"",'Jrnl Exp ~ Dép'!$C240&lt;&gt;""),1,0)</f>
        <v>0</v>
      </c>
      <c r="C737" s="146">
        <f>'Jrnl Exp ~ Dép'!$C240</f>
        <v>0</v>
      </c>
      <c r="D737" s="168">
        <f>'Jrnl Exp ~ Dép'!$D240</f>
        <v>0</v>
      </c>
      <c r="E737" s="1519">
        <f>'Jrnl Exp ~ Dép'!$F240</f>
        <v>0</v>
      </c>
      <c r="F737" s="1519"/>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2">
      <c r="B738" s="146">
        <f>IF(AND('Jrnl Exp ~ Dép'!$G241&lt;&gt;"",'Jrnl Exp ~ Dép'!$C241&lt;&gt;""),1,0)</f>
        <v>0</v>
      </c>
      <c r="C738" s="146">
        <f>'Jrnl Exp ~ Dép'!$C241</f>
        <v>0</v>
      </c>
      <c r="D738" s="168">
        <f>'Jrnl Exp ~ Dép'!$D241</f>
        <v>0</v>
      </c>
      <c r="E738" s="1519">
        <f>'Jrnl Exp ~ Dép'!$F241</f>
        <v>0</v>
      </c>
      <c r="F738" s="1519"/>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2">
      <c r="B739" s="146">
        <f>IF(AND('Jrnl Exp ~ Dép'!$G242&lt;&gt;"",'Jrnl Exp ~ Dép'!$C242&lt;&gt;""),1,0)</f>
        <v>0</v>
      </c>
      <c r="C739" s="146">
        <f>'Jrnl Exp ~ Dép'!$C242</f>
        <v>0</v>
      </c>
      <c r="D739" s="168">
        <f>'Jrnl Exp ~ Dép'!$D242</f>
        <v>0</v>
      </c>
      <c r="E739" s="1519">
        <f>'Jrnl Exp ~ Dép'!$F242</f>
        <v>0</v>
      </c>
      <c r="F739" s="1519"/>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2">
      <c r="B740" s="146">
        <f>IF(AND('Jrnl Exp ~ Dép'!$G243&lt;&gt;"",'Jrnl Exp ~ Dép'!$C243&lt;&gt;""),1,0)</f>
        <v>0</v>
      </c>
      <c r="C740" s="146">
        <f>'Jrnl Exp ~ Dép'!$C243</f>
        <v>0</v>
      </c>
      <c r="D740" s="168">
        <f>'Jrnl Exp ~ Dép'!$D243</f>
        <v>0</v>
      </c>
      <c r="E740" s="1519">
        <f>'Jrnl Exp ~ Dép'!$F243</f>
        <v>0</v>
      </c>
      <c r="F740" s="1519"/>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2">
      <c r="B741" s="146">
        <f>IF(AND('Jrnl Exp ~ Dép'!$G244&lt;&gt;"",'Jrnl Exp ~ Dép'!$C244&lt;&gt;""),1,0)</f>
        <v>0</v>
      </c>
      <c r="C741" s="146">
        <f>'Jrnl Exp ~ Dép'!$C244</f>
        <v>0</v>
      </c>
      <c r="D741" s="168">
        <f>'Jrnl Exp ~ Dép'!$D244</f>
        <v>0</v>
      </c>
      <c r="E741" s="1519">
        <f>'Jrnl Exp ~ Dép'!$F244</f>
        <v>0</v>
      </c>
      <c r="F741" s="1519"/>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2">
      <c r="B742" s="146">
        <f>IF(AND('Jrnl Exp ~ Dép'!$G245&lt;&gt;"",'Jrnl Exp ~ Dép'!$C245&lt;&gt;""),1,0)</f>
        <v>0</v>
      </c>
      <c r="C742" s="146">
        <f>'Jrnl Exp ~ Dép'!$C245</f>
        <v>0</v>
      </c>
      <c r="D742" s="168">
        <f>'Jrnl Exp ~ Dép'!$D245</f>
        <v>0</v>
      </c>
      <c r="E742" s="1519">
        <f>'Jrnl Exp ~ Dép'!$F245</f>
        <v>0</v>
      </c>
      <c r="F742" s="1519"/>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2">
      <c r="B743" s="146">
        <f>IF(AND('Jrnl Exp ~ Dép'!$G246&lt;&gt;"",'Jrnl Exp ~ Dép'!$C246&lt;&gt;""),1,0)</f>
        <v>0</v>
      </c>
      <c r="C743" s="146">
        <f>'Jrnl Exp ~ Dép'!$C246</f>
        <v>0</v>
      </c>
      <c r="D743" s="168">
        <f>'Jrnl Exp ~ Dép'!$D246</f>
        <v>0</v>
      </c>
      <c r="E743" s="1519">
        <f>'Jrnl Exp ~ Dép'!$F246</f>
        <v>0</v>
      </c>
      <c r="F743" s="1519"/>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2">
      <c r="B744" s="146">
        <f>IF(AND('Jrnl Exp ~ Dép'!$G247&lt;&gt;"",'Jrnl Exp ~ Dép'!$C247&lt;&gt;""),1,0)</f>
        <v>0</v>
      </c>
      <c r="C744" s="146">
        <f>'Jrnl Exp ~ Dép'!$C247</f>
        <v>0</v>
      </c>
      <c r="D744" s="168">
        <f>'Jrnl Exp ~ Dép'!$D247</f>
        <v>0</v>
      </c>
      <c r="E744" s="1519">
        <f>'Jrnl Exp ~ Dép'!$F247</f>
        <v>0</v>
      </c>
      <c r="F744" s="1519"/>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2">
      <c r="B745" s="146">
        <f>IF(AND('Jrnl Exp ~ Dép'!$G248&lt;&gt;"",'Jrnl Exp ~ Dép'!$C248&lt;&gt;""),1,0)</f>
        <v>0</v>
      </c>
      <c r="C745" s="146">
        <f>'Jrnl Exp ~ Dép'!$C248</f>
        <v>0</v>
      </c>
      <c r="D745" s="168">
        <f>'Jrnl Exp ~ Dép'!$D248</f>
        <v>0</v>
      </c>
      <c r="E745" s="1519">
        <f>'Jrnl Exp ~ Dép'!$F248</f>
        <v>0</v>
      </c>
      <c r="F745" s="1519"/>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2">
      <c r="B746" s="146">
        <f>IF(AND('Jrnl Exp ~ Dép'!$G249&lt;&gt;"",'Jrnl Exp ~ Dép'!$C249&lt;&gt;""),1,0)</f>
        <v>0</v>
      </c>
      <c r="C746" s="146">
        <f>'Jrnl Exp ~ Dép'!$C249</f>
        <v>0</v>
      </c>
      <c r="D746" s="168">
        <f>'Jrnl Exp ~ Dép'!$D249</f>
        <v>0</v>
      </c>
      <c r="E746" s="1519">
        <f>'Jrnl Exp ~ Dép'!$F249</f>
        <v>0</v>
      </c>
      <c r="F746" s="1519"/>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2">
      <c r="B747" s="146">
        <f>IF(AND('Jrnl Exp ~ Dép'!$G250&lt;&gt;"",'Jrnl Exp ~ Dép'!$C250&lt;&gt;""),1,0)</f>
        <v>0</v>
      </c>
      <c r="C747" s="146">
        <f>'Jrnl Exp ~ Dép'!$C250</f>
        <v>0</v>
      </c>
      <c r="D747" s="168">
        <f>'Jrnl Exp ~ Dép'!$D250</f>
        <v>0</v>
      </c>
      <c r="E747" s="1519">
        <f>'Jrnl Exp ~ Dép'!$F250</f>
        <v>0</v>
      </c>
      <c r="F747" s="1519"/>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2">
      <c r="B748" s="146">
        <f>IF(AND('Jrnl Exp ~ Dép'!$G251&lt;&gt;"",'Jrnl Exp ~ Dép'!$C251&lt;&gt;""),1,0)</f>
        <v>0</v>
      </c>
      <c r="C748" s="146">
        <f>'Jrnl Exp ~ Dép'!$C251</f>
        <v>0</v>
      </c>
      <c r="D748" s="168">
        <f>'Jrnl Exp ~ Dép'!$D251</f>
        <v>0</v>
      </c>
      <c r="E748" s="1519">
        <f>'Jrnl Exp ~ Dép'!$F251</f>
        <v>0</v>
      </c>
      <c r="F748" s="1519"/>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2">
      <c r="B749" s="146">
        <f>IF(AND('Jrnl Exp ~ Dép'!$G252&lt;&gt;"",'Jrnl Exp ~ Dép'!$C252&lt;&gt;""),1,0)</f>
        <v>0</v>
      </c>
      <c r="C749" s="146">
        <f>'Jrnl Exp ~ Dép'!$C252</f>
        <v>0</v>
      </c>
      <c r="D749" s="168">
        <f>'Jrnl Exp ~ Dép'!$D252</f>
        <v>0</v>
      </c>
      <c r="E749" s="1519">
        <f>'Jrnl Exp ~ Dép'!$F252</f>
        <v>0</v>
      </c>
      <c r="F749" s="1519"/>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2">
      <c r="B750" s="146">
        <f>IF(AND('Jrnl Exp ~ Dép'!$G253&lt;&gt;"",'Jrnl Exp ~ Dép'!$C253&lt;&gt;""),1,0)</f>
        <v>0</v>
      </c>
      <c r="C750" s="146">
        <f>'Jrnl Exp ~ Dép'!$C253</f>
        <v>0</v>
      </c>
      <c r="D750" s="168">
        <f>'Jrnl Exp ~ Dép'!$D253</f>
        <v>0</v>
      </c>
      <c r="E750" s="1519">
        <f>'Jrnl Exp ~ Dép'!$F253</f>
        <v>0</v>
      </c>
      <c r="F750" s="1519"/>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2">
      <c r="B751" s="146">
        <f>IF(AND('Jrnl Exp ~ Dép'!$G254&lt;&gt;"",'Jrnl Exp ~ Dép'!$C254&lt;&gt;""),1,0)</f>
        <v>0</v>
      </c>
      <c r="C751" s="146">
        <f>'Jrnl Exp ~ Dép'!$C254</f>
        <v>0</v>
      </c>
      <c r="D751" s="168">
        <f>'Jrnl Exp ~ Dép'!$D254</f>
        <v>0</v>
      </c>
      <c r="E751" s="1519">
        <f>'Jrnl Exp ~ Dép'!$F254</f>
        <v>0</v>
      </c>
      <c r="F751" s="1519"/>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2">
      <c r="B752" s="146">
        <f>IF(AND('Jrnl Exp ~ Dép'!$G255&lt;&gt;"",'Jrnl Exp ~ Dép'!$C255&lt;&gt;""),1,0)</f>
        <v>0</v>
      </c>
      <c r="C752" s="146">
        <f>'Jrnl Exp ~ Dép'!$C255</f>
        <v>0</v>
      </c>
      <c r="D752" s="168">
        <f>'Jrnl Exp ~ Dép'!$D255</f>
        <v>0</v>
      </c>
      <c r="E752" s="1519">
        <f>'Jrnl Exp ~ Dép'!$F255</f>
        <v>0</v>
      </c>
      <c r="F752" s="1519"/>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2">
      <c r="B753" s="146">
        <f>IF(AND('Jrnl Exp ~ Dép'!$G256&lt;&gt;"",'Jrnl Exp ~ Dép'!$C256&lt;&gt;""),1,0)</f>
        <v>0</v>
      </c>
      <c r="C753" s="146">
        <f>'Jrnl Exp ~ Dép'!$C256</f>
        <v>0</v>
      </c>
      <c r="D753" s="168">
        <f>'Jrnl Exp ~ Dép'!$D256</f>
        <v>0</v>
      </c>
      <c r="E753" s="1519">
        <f>'Jrnl Exp ~ Dép'!$F256</f>
        <v>0</v>
      </c>
      <c r="F753" s="1519"/>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2">
      <c r="B754" s="146">
        <f>IF(AND('Jrnl Exp ~ Dép'!$G257&lt;&gt;"",'Jrnl Exp ~ Dép'!$C257&lt;&gt;""),1,0)</f>
        <v>0</v>
      </c>
      <c r="C754" s="146">
        <f>'Jrnl Exp ~ Dép'!$C257</f>
        <v>0</v>
      </c>
      <c r="D754" s="168">
        <f>'Jrnl Exp ~ Dép'!$D257</f>
        <v>0</v>
      </c>
      <c r="E754" s="1519">
        <f>'Jrnl Exp ~ Dép'!$F257</f>
        <v>0</v>
      </c>
      <c r="F754" s="1519"/>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2">
      <c r="B755" s="146">
        <f>IF(AND('Jrnl Exp ~ Dép'!$G258&lt;&gt;"",'Jrnl Exp ~ Dép'!$C258&lt;&gt;""),1,0)</f>
        <v>0</v>
      </c>
      <c r="C755" s="146">
        <f>'Jrnl Exp ~ Dép'!$C258</f>
        <v>0</v>
      </c>
      <c r="D755" s="168">
        <f>'Jrnl Exp ~ Dép'!$D258</f>
        <v>0</v>
      </c>
      <c r="E755" s="1519">
        <f>'Jrnl Exp ~ Dép'!$F258</f>
        <v>0</v>
      </c>
      <c r="F755" s="1519"/>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2">
      <c r="B756" s="146">
        <f>IF(AND('Jrnl Exp ~ Dép'!$G259&lt;&gt;"",'Jrnl Exp ~ Dép'!$C259&lt;&gt;""),1,0)</f>
        <v>0</v>
      </c>
      <c r="C756" s="146">
        <f>'Jrnl Exp ~ Dép'!$C259</f>
        <v>0</v>
      </c>
      <c r="D756" s="168">
        <f>'Jrnl Exp ~ Dép'!$D259</f>
        <v>0</v>
      </c>
      <c r="E756" s="1519">
        <f>'Jrnl Exp ~ Dép'!$F259</f>
        <v>0</v>
      </c>
      <c r="F756" s="1519"/>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2">
      <c r="B757" s="146">
        <f>IF(AND('Jrnl Exp ~ Dép'!$G260&lt;&gt;"",'Jrnl Exp ~ Dép'!$C260&lt;&gt;""),1,0)</f>
        <v>0</v>
      </c>
      <c r="C757" s="146">
        <f>'Jrnl Exp ~ Dép'!$C260</f>
        <v>0</v>
      </c>
      <c r="D757" s="168">
        <f>'Jrnl Exp ~ Dép'!$D260</f>
        <v>0</v>
      </c>
      <c r="E757" s="1519">
        <f>'Jrnl Exp ~ Dép'!$F260</f>
        <v>0</v>
      </c>
      <c r="F757" s="1519"/>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2">
      <c r="B758" s="146">
        <f>IF(AND('Jrnl Exp ~ Dép'!$G261&lt;&gt;"",'Jrnl Exp ~ Dép'!$C261&lt;&gt;""),1,0)</f>
        <v>0</v>
      </c>
      <c r="C758" s="146">
        <f>'Jrnl Exp ~ Dép'!$C261</f>
        <v>0</v>
      </c>
      <c r="D758" s="168">
        <f>'Jrnl Exp ~ Dép'!$D261</f>
        <v>0</v>
      </c>
      <c r="E758" s="1519">
        <f>'Jrnl Exp ~ Dép'!$F261</f>
        <v>0</v>
      </c>
      <c r="F758" s="1519"/>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2">
      <c r="B759" s="146">
        <f>IF(AND('Jrnl Exp ~ Dép'!$G262&lt;&gt;"",'Jrnl Exp ~ Dép'!$C262&lt;&gt;""),1,0)</f>
        <v>0</v>
      </c>
      <c r="C759" s="146">
        <f>'Jrnl Exp ~ Dép'!$C262</f>
        <v>0</v>
      </c>
      <c r="D759" s="168">
        <f>'Jrnl Exp ~ Dép'!$D262</f>
        <v>0</v>
      </c>
      <c r="E759" s="1519">
        <f>'Jrnl Exp ~ Dép'!$F262</f>
        <v>0</v>
      </c>
      <c r="F759" s="1519"/>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2">
      <c r="B760" s="146">
        <f>IF(AND('Jrnl Exp ~ Dép'!$G263&lt;&gt;"",'Jrnl Exp ~ Dép'!$C263&lt;&gt;""),1,0)</f>
        <v>0</v>
      </c>
      <c r="C760" s="146">
        <f>'Jrnl Exp ~ Dép'!$C263</f>
        <v>0</v>
      </c>
      <c r="D760" s="168">
        <f>'Jrnl Exp ~ Dép'!$D263</f>
        <v>0</v>
      </c>
      <c r="E760" s="1519">
        <f>'Jrnl Exp ~ Dép'!$F263</f>
        <v>0</v>
      </c>
      <c r="F760" s="1519"/>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2">
      <c r="B761" s="146">
        <f>IF(AND('Jrnl Exp ~ Dép'!$G264&lt;&gt;"",'Jrnl Exp ~ Dép'!$C264&lt;&gt;""),1,0)</f>
        <v>0</v>
      </c>
      <c r="C761" s="146">
        <f>'Jrnl Exp ~ Dép'!$C264</f>
        <v>0</v>
      </c>
      <c r="D761" s="168">
        <f>'Jrnl Exp ~ Dép'!$D264</f>
        <v>0</v>
      </c>
      <c r="E761" s="1519">
        <f>'Jrnl Exp ~ Dép'!$F264</f>
        <v>0</v>
      </c>
      <c r="F761" s="1519"/>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2">
      <c r="B762" s="146">
        <f>IF(AND('Jrnl Exp ~ Dép'!$G265&lt;&gt;"",'Jrnl Exp ~ Dép'!$C265&lt;&gt;""),1,0)</f>
        <v>0</v>
      </c>
      <c r="C762" s="146">
        <f>'Jrnl Exp ~ Dép'!$C265</f>
        <v>0</v>
      </c>
      <c r="D762" s="168">
        <f>'Jrnl Exp ~ Dép'!$D265</f>
        <v>0</v>
      </c>
      <c r="E762" s="1519">
        <f>'Jrnl Exp ~ Dép'!$F265</f>
        <v>0</v>
      </c>
      <c r="F762" s="1519"/>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2">
      <c r="B763" s="146">
        <f>IF(AND('Jrnl Exp ~ Dép'!$G266&lt;&gt;"",'Jrnl Exp ~ Dép'!$C266&lt;&gt;""),1,0)</f>
        <v>0</v>
      </c>
      <c r="C763" s="146">
        <f>'Jrnl Exp ~ Dép'!$C266</f>
        <v>0</v>
      </c>
      <c r="D763" s="168">
        <f>'Jrnl Exp ~ Dép'!$D266</f>
        <v>0</v>
      </c>
      <c r="E763" s="1519">
        <f>'Jrnl Exp ~ Dép'!$F266</f>
        <v>0</v>
      </c>
      <c r="F763" s="1519"/>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2">
      <c r="B764" s="146">
        <f>IF(AND('Jrnl Exp ~ Dép'!$G267&lt;&gt;"",'Jrnl Exp ~ Dép'!$C267&lt;&gt;""),1,0)</f>
        <v>0</v>
      </c>
      <c r="C764" s="146">
        <f>'Jrnl Exp ~ Dép'!$C267</f>
        <v>0</v>
      </c>
      <c r="D764" s="168">
        <f>'Jrnl Exp ~ Dép'!$D267</f>
        <v>0</v>
      </c>
      <c r="E764" s="1519">
        <f>'Jrnl Exp ~ Dép'!$F267</f>
        <v>0</v>
      </c>
      <c r="F764" s="1519"/>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2">
      <c r="B765" s="146">
        <f>IF(AND('Jrnl Exp ~ Dép'!$G268&lt;&gt;"",'Jrnl Exp ~ Dép'!$C268&lt;&gt;""),1,0)</f>
        <v>0</v>
      </c>
      <c r="C765" s="146">
        <f>'Jrnl Exp ~ Dép'!$C268</f>
        <v>0</v>
      </c>
      <c r="D765" s="168">
        <f>'Jrnl Exp ~ Dép'!$D268</f>
        <v>0</v>
      </c>
      <c r="E765" s="1519">
        <f>'Jrnl Exp ~ Dép'!$F268</f>
        <v>0</v>
      </c>
      <c r="F765" s="1519"/>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2">
      <c r="B766" s="146">
        <f>IF(AND('Jrnl Exp ~ Dép'!$G269&lt;&gt;"",'Jrnl Exp ~ Dép'!$C269&lt;&gt;""),1,0)</f>
        <v>0</v>
      </c>
      <c r="C766" s="146">
        <f>'Jrnl Exp ~ Dép'!$C269</f>
        <v>0</v>
      </c>
      <c r="D766" s="168">
        <f>'Jrnl Exp ~ Dép'!$D269</f>
        <v>0</v>
      </c>
      <c r="E766" s="1519">
        <f>'Jrnl Exp ~ Dép'!$F269</f>
        <v>0</v>
      </c>
      <c r="F766" s="1519"/>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2">
      <c r="B767" s="146">
        <f>IF(AND('Jrnl Exp ~ Dép'!$G270&lt;&gt;"",'Jrnl Exp ~ Dép'!$C270&lt;&gt;""),1,0)</f>
        <v>0</v>
      </c>
      <c r="C767" s="146">
        <f>'Jrnl Exp ~ Dép'!$C270</f>
        <v>0</v>
      </c>
      <c r="D767" s="168">
        <f>'Jrnl Exp ~ Dép'!$D270</f>
        <v>0</v>
      </c>
      <c r="E767" s="1519">
        <f>'Jrnl Exp ~ Dép'!$F270</f>
        <v>0</v>
      </c>
      <c r="F767" s="1519"/>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2">
      <c r="B768" s="146">
        <f>IF(AND('Jrnl Exp ~ Dép'!$G271&lt;&gt;"",'Jrnl Exp ~ Dép'!$C271&lt;&gt;""),1,0)</f>
        <v>0</v>
      </c>
      <c r="C768" s="146">
        <f>'Jrnl Exp ~ Dép'!$C271</f>
        <v>0</v>
      </c>
      <c r="D768" s="168">
        <f>'Jrnl Exp ~ Dép'!$D271</f>
        <v>0</v>
      </c>
      <c r="E768" s="1519">
        <f>'Jrnl Exp ~ Dép'!$F271</f>
        <v>0</v>
      </c>
      <c r="F768" s="1519"/>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2">
      <c r="B769" s="146">
        <f>IF(AND('Jrnl Exp ~ Dép'!$G272&lt;&gt;"",'Jrnl Exp ~ Dép'!$C272&lt;&gt;""),1,0)</f>
        <v>0</v>
      </c>
      <c r="C769" s="146">
        <f>'Jrnl Exp ~ Dép'!$C272</f>
        <v>0</v>
      </c>
      <c r="D769" s="168">
        <f>'Jrnl Exp ~ Dép'!$D272</f>
        <v>0</v>
      </c>
      <c r="E769" s="1519">
        <f>'Jrnl Exp ~ Dép'!$F272</f>
        <v>0</v>
      </c>
      <c r="F769" s="1519"/>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2">
      <c r="B770" s="146">
        <f>IF(AND('Jrnl Exp ~ Dép'!$G273&lt;&gt;"",'Jrnl Exp ~ Dép'!$C273&lt;&gt;""),1,0)</f>
        <v>0</v>
      </c>
      <c r="C770" s="146">
        <f>'Jrnl Exp ~ Dép'!$C273</f>
        <v>0</v>
      </c>
      <c r="D770" s="168">
        <f>'Jrnl Exp ~ Dép'!$D273</f>
        <v>0</v>
      </c>
      <c r="E770" s="1519">
        <f>'Jrnl Exp ~ Dép'!$F273</f>
        <v>0</v>
      </c>
      <c r="F770" s="1519"/>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2">
      <c r="B771" s="146">
        <f>IF(AND('Jrnl Exp ~ Dép'!$G274&lt;&gt;"",'Jrnl Exp ~ Dép'!$C274&lt;&gt;""),1,0)</f>
        <v>0</v>
      </c>
      <c r="C771" s="146">
        <f>'Jrnl Exp ~ Dép'!$C274</f>
        <v>0</v>
      </c>
      <c r="D771" s="168">
        <f>'Jrnl Exp ~ Dép'!$D274</f>
        <v>0</v>
      </c>
      <c r="E771" s="1519">
        <f>'Jrnl Exp ~ Dép'!$F274</f>
        <v>0</v>
      </c>
      <c r="F771" s="1519"/>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2">
      <c r="B772" s="146">
        <f>IF(AND('Jrnl Exp ~ Dép'!$G275&lt;&gt;"",'Jrnl Exp ~ Dép'!$C275&lt;&gt;""),1,0)</f>
        <v>0</v>
      </c>
      <c r="C772" s="146">
        <f>'Jrnl Exp ~ Dép'!$C275</f>
        <v>0</v>
      </c>
      <c r="D772" s="168">
        <f>'Jrnl Exp ~ Dép'!$D275</f>
        <v>0</v>
      </c>
      <c r="E772" s="1519">
        <f>'Jrnl Exp ~ Dép'!$F275</f>
        <v>0</v>
      </c>
      <c r="F772" s="1519"/>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2">
      <c r="B773" s="146">
        <f>IF(AND('Jrnl Exp ~ Dép'!$G276&lt;&gt;"",'Jrnl Exp ~ Dép'!$C276&lt;&gt;""),1,0)</f>
        <v>0</v>
      </c>
      <c r="C773" s="146">
        <f>'Jrnl Exp ~ Dép'!$C276</f>
        <v>0</v>
      </c>
      <c r="D773" s="168">
        <f>'Jrnl Exp ~ Dép'!$D276</f>
        <v>0</v>
      </c>
      <c r="E773" s="1519">
        <f>'Jrnl Exp ~ Dép'!$F276</f>
        <v>0</v>
      </c>
      <c r="F773" s="1519"/>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2">
      <c r="B774" s="146">
        <f>IF(AND('Jrnl Exp ~ Dép'!$G277&lt;&gt;"",'Jrnl Exp ~ Dép'!$C277&lt;&gt;""),1,0)</f>
        <v>0</v>
      </c>
      <c r="C774" s="146">
        <f>'Jrnl Exp ~ Dép'!$C277</f>
        <v>0</v>
      </c>
      <c r="D774" s="168">
        <f>'Jrnl Exp ~ Dép'!$D277</f>
        <v>0</v>
      </c>
      <c r="E774" s="1519">
        <f>'Jrnl Exp ~ Dép'!$F277</f>
        <v>0</v>
      </c>
      <c r="F774" s="1519"/>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2">
      <c r="B775" s="146">
        <f>IF(AND('Jrnl Exp ~ Dép'!$G278&lt;&gt;"",'Jrnl Exp ~ Dép'!$C278&lt;&gt;""),1,0)</f>
        <v>0</v>
      </c>
      <c r="C775" s="146">
        <f>'Jrnl Exp ~ Dép'!$C278</f>
        <v>0</v>
      </c>
      <c r="D775" s="168">
        <f>'Jrnl Exp ~ Dép'!$D278</f>
        <v>0</v>
      </c>
      <c r="E775" s="1519">
        <f>'Jrnl Exp ~ Dép'!$F278</f>
        <v>0</v>
      </c>
      <c r="F775" s="1519"/>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2">
      <c r="B776" s="146">
        <f>IF(AND('Jrnl Exp ~ Dép'!$G279&lt;&gt;"",'Jrnl Exp ~ Dép'!$C279&lt;&gt;""),1,0)</f>
        <v>0</v>
      </c>
      <c r="C776" s="146">
        <f>'Jrnl Exp ~ Dép'!$C279</f>
        <v>0</v>
      </c>
      <c r="D776" s="168">
        <f>'Jrnl Exp ~ Dép'!$D279</f>
        <v>0</v>
      </c>
      <c r="E776" s="1519">
        <f>'Jrnl Exp ~ Dép'!$F279</f>
        <v>0</v>
      </c>
      <c r="F776" s="1519"/>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2">
      <c r="B777" s="146">
        <f>IF(AND('Jrnl Exp ~ Dép'!$G280&lt;&gt;"",'Jrnl Exp ~ Dép'!$C280&lt;&gt;""),1,0)</f>
        <v>0</v>
      </c>
      <c r="C777" s="146">
        <f>'Jrnl Exp ~ Dép'!$C280</f>
        <v>0</v>
      </c>
      <c r="D777" s="168">
        <f>'Jrnl Exp ~ Dép'!$D280</f>
        <v>0</v>
      </c>
      <c r="E777" s="1519">
        <f>'Jrnl Exp ~ Dép'!$F280</f>
        <v>0</v>
      </c>
      <c r="F777" s="1519"/>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2">
      <c r="B778" s="146">
        <f>IF(AND('Jrnl Exp ~ Dép'!$G281&lt;&gt;"",'Jrnl Exp ~ Dép'!$C281&lt;&gt;""),1,0)</f>
        <v>0</v>
      </c>
      <c r="C778" s="146">
        <f>'Jrnl Exp ~ Dép'!$C281</f>
        <v>0</v>
      </c>
      <c r="D778" s="168">
        <f>'Jrnl Exp ~ Dép'!$D281</f>
        <v>0</v>
      </c>
      <c r="E778" s="1519">
        <f>'Jrnl Exp ~ Dép'!$F281</f>
        <v>0</v>
      </c>
      <c r="F778" s="1519"/>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2">
      <c r="B779" s="146">
        <f>IF(AND('Jrnl Exp ~ Dép'!$G282&lt;&gt;"",'Jrnl Exp ~ Dép'!$C282&lt;&gt;""),1,0)</f>
        <v>0</v>
      </c>
      <c r="C779" s="146">
        <f>'Jrnl Exp ~ Dép'!$C282</f>
        <v>0</v>
      </c>
      <c r="D779" s="168">
        <f>'Jrnl Exp ~ Dép'!$D282</f>
        <v>0</v>
      </c>
      <c r="E779" s="1519">
        <f>'Jrnl Exp ~ Dép'!$F282</f>
        <v>0</v>
      </c>
      <c r="F779" s="1519"/>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2">
      <c r="B780" s="146">
        <f>IF(AND('Jrnl Exp ~ Dép'!$G283&lt;&gt;"",'Jrnl Exp ~ Dép'!$C283&lt;&gt;""),1,0)</f>
        <v>0</v>
      </c>
      <c r="C780" s="146">
        <f>'Jrnl Exp ~ Dép'!$C283</f>
        <v>0</v>
      </c>
      <c r="D780" s="168">
        <f>'Jrnl Exp ~ Dép'!$D283</f>
        <v>0</v>
      </c>
      <c r="E780" s="1519">
        <f>'Jrnl Exp ~ Dép'!$F283</f>
        <v>0</v>
      </c>
      <c r="F780" s="1519"/>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2">
      <c r="B781" s="146">
        <f>IF(AND('Jrnl Exp ~ Dép'!$G284&lt;&gt;"",'Jrnl Exp ~ Dép'!$C284&lt;&gt;""),1,0)</f>
        <v>0</v>
      </c>
      <c r="C781" s="146">
        <f>'Jrnl Exp ~ Dép'!$C284</f>
        <v>0</v>
      </c>
      <c r="D781" s="168">
        <f>'Jrnl Exp ~ Dép'!$D284</f>
        <v>0</v>
      </c>
      <c r="E781" s="1519">
        <f>'Jrnl Exp ~ Dép'!$F284</f>
        <v>0</v>
      </c>
      <c r="F781" s="1519"/>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2">
      <c r="B782" s="146">
        <f>IF(AND('Jrnl Exp ~ Dép'!$G285&lt;&gt;"",'Jrnl Exp ~ Dép'!$C285&lt;&gt;""),1,0)</f>
        <v>0</v>
      </c>
      <c r="C782" s="146">
        <f>'Jrnl Exp ~ Dép'!$C285</f>
        <v>0</v>
      </c>
      <c r="D782" s="168">
        <f>'Jrnl Exp ~ Dép'!$D285</f>
        <v>0</v>
      </c>
      <c r="E782" s="1519">
        <f>'Jrnl Exp ~ Dép'!$F285</f>
        <v>0</v>
      </c>
      <c r="F782" s="1519"/>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2">
      <c r="B783" s="146">
        <f>IF(AND('Jrnl Exp ~ Dép'!$G286&lt;&gt;"",'Jrnl Exp ~ Dép'!$C286&lt;&gt;""),1,0)</f>
        <v>0</v>
      </c>
      <c r="C783" s="146">
        <f>'Jrnl Exp ~ Dép'!$C286</f>
        <v>0</v>
      </c>
      <c r="D783" s="168">
        <f>'Jrnl Exp ~ Dép'!$D286</f>
        <v>0</v>
      </c>
      <c r="E783" s="1519">
        <f>'Jrnl Exp ~ Dép'!$F286</f>
        <v>0</v>
      </c>
      <c r="F783" s="1519"/>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2">
      <c r="B784" s="146">
        <f>IF(AND('Jrnl Exp ~ Dép'!$G287&lt;&gt;"",'Jrnl Exp ~ Dép'!$C287&lt;&gt;""),1,0)</f>
        <v>0</v>
      </c>
      <c r="C784" s="146">
        <f>'Jrnl Exp ~ Dép'!$C287</f>
        <v>0</v>
      </c>
      <c r="D784" s="168">
        <f>'Jrnl Exp ~ Dép'!$D287</f>
        <v>0</v>
      </c>
      <c r="E784" s="1519">
        <f>'Jrnl Exp ~ Dép'!$F287</f>
        <v>0</v>
      </c>
      <c r="F784" s="1519"/>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2">
      <c r="B785" s="146">
        <f>IF(AND('Jrnl Exp ~ Dép'!$G288&lt;&gt;"",'Jrnl Exp ~ Dép'!$C288&lt;&gt;""),1,0)</f>
        <v>0</v>
      </c>
      <c r="C785" s="146">
        <f>'Jrnl Exp ~ Dép'!$C288</f>
        <v>0</v>
      </c>
      <c r="D785" s="168">
        <f>'Jrnl Exp ~ Dép'!$D288</f>
        <v>0</v>
      </c>
      <c r="E785" s="1519">
        <f>'Jrnl Exp ~ Dép'!$F288</f>
        <v>0</v>
      </c>
      <c r="F785" s="1519"/>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2">
      <c r="B786" s="146">
        <f>IF(AND('Jrnl Exp ~ Dép'!$G289&lt;&gt;"",'Jrnl Exp ~ Dép'!$C289&lt;&gt;""),1,0)</f>
        <v>0</v>
      </c>
      <c r="C786" s="146">
        <f>'Jrnl Exp ~ Dép'!$C289</f>
        <v>0</v>
      </c>
      <c r="D786" s="168">
        <f>'Jrnl Exp ~ Dép'!$D289</f>
        <v>0</v>
      </c>
      <c r="E786" s="1519">
        <f>'Jrnl Exp ~ Dép'!$F289</f>
        <v>0</v>
      </c>
      <c r="F786" s="1519"/>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2">
      <c r="B787" s="146">
        <f>IF(AND('Jrnl Exp ~ Dép'!$G290&lt;&gt;"",'Jrnl Exp ~ Dép'!$C290&lt;&gt;""),1,0)</f>
        <v>0</v>
      </c>
      <c r="C787" s="146">
        <f>'Jrnl Exp ~ Dép'!$C290</f>
        <v>0</v>
      </c>
      <c r="D787" s="168">
        <f>'Jrnl Exp ~ Dép'!$D290</f>
        <v>0</v>
      </c>
      <c r="E787" s="1519">
        <f>'Jrnl Exp ~ Dép'!$F290</f>
        <v>0</v>
      </c>
      <c r="F787" s="1519"/>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2">
      <c r="B788" s="146">
        <f>IF(AND('Jrnl Exp ~ Dép'!$G291&lt;&gt;"",'Jrnl Exp ~ Dép'!$C291&lt;&gt;""),1,0)</f>
        <v>0</v>
      </c>
      <c r="C788" s="146">
        <f>'Jrnl Exp ~ Dép'!$C291</f>
        <v>0</v>
      </c>
      <c r="D788" s="168">
        <f>'Jrnl Exp ~ Dép'!$D291</f>
        <v>0</v>
      </c>
      <c r="E788" s="1519">
        <f>'Jrnl Exp ~ Dép'!$F291</f>
        <v>0</v>
      </c>
      <c r="F788" s="1519"/>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2">
      <c r="B789" s="146">
        <f>IF(AND('Jrnl Exp ~ Dép'!$G292&lt;&gt;"",'Jrnl Exp ~ Dép'!$C292&lt;&gt;""),1,0)</f>
        <v>0</v>
      </c>
      <c r="C789" s="146">
        <f>'Jrnl Exp ~ Dép'!$C292</f>
        <v>0</v>
      </c>
      <c r="D789" s="168">
        <f>'Jrnl Exp ~ Dép'!$D292</f>
        <v>0</v>
      </c>
      <c r="E789" s="1519">
        <f>'Jrnl Exp ~ Dép'!$F292</f>
        <v>0</v>
      </c>
      <c r="F789" s="1519"/>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2">
      <c r="B790" s="146">
        <f>IF(AND('Jrnl Exp ~ Dép'!$G293&lt;&gt;"",'Jrnl Exp ~ Dép'!$C293&lt;&gt;""),1,0)</f>
        <v>0</v>
      </c>
      <c r="C790" s="146">
        <f>'Jrnl Exp ~ Dép'!$C293</f>
        <v>0</v>
      </c>
      <c r="D790" s="168">
        <f>'Jrnl Exp ~ Dép'!$D293</f>
        <v>0</v>
      </c>
      <c r="E790" s="1519">
        <f>'Jrnl Exp ~ Dép'!$F293</f>
        <v>0</v>
      </c>
      <c r="F790" s="1519"/>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2">
      <c r="B791" s="146">
        <f>IF(AND('Jrnl Exp ~ Dép'!$G294&lt;&gt;"",'Jrnl Exp ~ Dép'!$C294&lt;&gt;""),1,0)</f>
        <v>0</v>
      </c>
      <c r="C791" s="146">
        <f>'Jrnl Exp ~ Dép'!$C294</f>
        <v>0</v>
      </c>
      <c r="D791" s="168">
        <f>'Jrnl Exp ~ Dép'!$D294</f>
        <v>0</v>
      </c>
      <c r="E791" s="1519">
        <f>'Jrnl Exp ~ Dép'!$F294</f>
        <v>0</v>
      </c>
      <c r="F791" s="1519"/>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2">
      <c r="B792" s="146">
        <f>IF(AND('Jrnl Exp ~ Dép'!$G295&lt;&gt;"",'Jrnl Exp ~ Dép'!$C295&lt;&gt;""),1,0)</f>
        <v>0</v>
      </c>
      <c r="C792" s="146">
        <f>'Jrnl Exp ~ Dép'!$C295</f>
        <v>0</v>
      </c>
      <c r="D792" s="168">
        <f>'Jrnl Exp ~ Dép'!$D295</f>
        <v>0</v>
      </c>
      <c r="E792" s="1519">
        <f>'Jrnl Exp ~ Dép'!$F295</f>
        <v>0</v>
      </c>
      <c r="F792" s="1519"/>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2">
      <c r="B793" s="146">
        <f>IF(AND('Jrnl Exp ~ Dép'!$G296&lt;&gt;"",'Jrnl Exp ~ Dép'!$C296&lt;&gt;""),1,0)</f>
        <v>0</v>
      </c>
      <c r="C793" s="146">
        <f>'Jrnl Exp ~ Dép'!$C296</f>
        <v>0</v>
      </c>
      <c r="D793" s="168">
        <f>'Jrnl Exp ~ Dép'!$D296</f>
        <v>0</v>
      </c>
      <c r="E793" s="1519">
        <f>'Jrnl Exp ~ Dép'!$F296</f>
        <v>0</v>
      </c>
      <c r="F793" s="1519"/>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2">
      <c r="B794" s="146">
        <f>IF(AND('Jrnl Exp ~ Dép'!$G297&lt;&gt;"",'Jrnl Exp ~ Dép'!$C297&lt;&gt;""),1,0)</f>
        <v>0</v>
      </c>
      <c r="C794" s="146">
        <f>'Jrnl Exp ~ Dép'!$C297</f>
        <v>0</v>
      </c>
      <c r="D794" s="168">
        <f>'Jrnl Exp ~ Dép'!$D297</f>
        <v>0</v>
      </c>
      <c r="E794" s="1519">
        <f>'Jrnl Exp ~ Dép'!$F297</f>
        <v>0</v>
      </c>
      <c r="F794" s="1519"/>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2">
      <c r="B795" s="146">
        <f>IF(AND('Jrnl Exp ~ Dép'!$G298&lt;&gt;"",'Jrnl Exp ~ Dép'!$C298&lt;&gt;""),1,0)</f>
        <v>0</v>
      </c>
      <c r="C795" s="146">
        <f>'Jrnl Exp ~ Dép'!$C298</f>
        <v>0</v>
      </c>
      <c r="D795" s="168">
        <f>'Jrnl Exp ~ Dép'!$D298</f>
        <v>0</v>
      </c>
      <c r="E795" s="1519">
        <f>'Jrnl Exp ~ Dép'!$F298</f>
        <v>0</v>
      </c>
      <c r="F795" s="1519"/>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2">
      <c r="B796" s="146">
        <f>IF(AND('Jrnl Exp ~ Dép'!$G299&lt;&gt;"",'Jrnl Exp ~ Dép'!$C299&lt;&gt;""),1,0)</f>
        <v>0</v>
      </c>
      <c r="C796" s="146">
        <f>'Jrnl Exp ~ Dép'!$C299</f>
        <v>0</v>
      </c>
      <c r="D796" s="168">
        <f>'Jrnl Exp ~ Dép'!$D299</f>
        <v>0</v>
      </c>
      <c r="E796" s="1519">
        <f>'Jrnl Exp ~ Dép'!$F299</f>
        <v>0</v>
      </c>
      <c r="F796" s="1519"/>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2">
      <c r="B797" s="146">
        <f>IF(AND('Jrnl Exp ~ Dép'!$G300&lt;&gt;"",'Jrnl Exp ~ Dép'!$C300&lt;&gt;""),1,0)</f>
        <v>0</v>
      </c>
      <c r="C797" s="146">
        <f>'Jrnl Exp ~ Dép'!$C300</f>
        <v>0</v>
      </c>
      <c r="D797" s="168">
        <f>'Jrnl Exp ~ Dép'!$D300</f>
        <v>0</v>
      </c>
      <c r="E797" s="1519">
        <f>'Jrnl Exp ~ Dép'!$F300</f>
        <v>0</v>
      </c>
      <c r="F797" s="1519"/>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2">
      <c r="B798" s="146">
        <f>IF(AND('Jrnl Exp ~ Dép'!$G301&lt;&gt;"",'Jrnl Exp ~ Dép'!$C301&lt;&gt;""),1,0)</f>
        <v>0</v>
      </c>
      <c r="C798" s="146">
        <f>'Jrnl Exp ~ Dép'!$C301</f>
        <v>0</v>
      </c>
      <c r="D798" s="168">
        <f>'Jrnl Exp ~ Dép'!$D301</f>
        <v>0</v>
      </c>
      <c r="E798" s="1519">
        <f>'Jrnl Exp ~ Dép'!$F301</f>
        <v>0</v>
      </c>
      <c r="F798" s="1519"/>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2">
      <c r="B799" s="146">
        <f>IF(AND('Jrnl Exp ~ Dép'!$G302&lt;&gt;"",'Jrnl Exp ~ Dép'!$C302&lt;&gt;""),1,0)</f>
        <v>0</v>
      </c>
      <c r="C799" s="146">
        <f>'Jrnl Exp ~ Dép'!$C302</f>
        <v>0</v>
      </c>
      <c r="D799" s="168">
        <f>'Jrnl Exp ~ Dép'!$D302</f>
        <v>0</v>
      </c>
      <c r="E799" s="1519">
        <f>'Jrnl Exp ~ Dép'!$F302</f>
        <v>0</v>
      </c>
      <c r="F799" s="1519"/>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2">
      <c r="B800" s="146">
        <f>IF(AND('Jrnl Exp ~ Dép'!$G303&lt;&gt;"",'Jrnl Exp ~ Dép'!$C303&lt;&gt;""),1,0)</f>
        <v>0</v>
      </c>
      <c r="C800" s="146">
        <f>'Jrnl Exp ~ Dép'!$C303</f>
        <v>0</v>
      </c>
      <c r="D800" s="168">
        <f>'Jrnl Exp ~ Dép'!$D303</f>
        <v>0</v>
      </c>
      <c r="E800" s="1519">
        <f>'Jrnl Exp ~ Dép'!$F303</f>
        <v>0</v>
      </c>
      <c r="F800" s="1519"/>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2">
      <c r="B801" s="146">
        <f>IF(AND('Jrnl Exp ~ Dép'!$G304&lt;&gt;"",'Jrnl Exp ~ Dép'!$C304&lt;&gt;""),1,0)</f>
        <v>0</v>
      </c>
      <c r="C801" s="146">
        <f>'Jrnl Exp ~ Dép'!$C304</f>
        <v>0</v>
      </c>
      <c r="D801" s="168">
        <f>'Jrnl Exp ~ Dép'!$D304</f>
        <v>0</v>
      </c>
      <c r="E801" s="1519">
        <f>'Jrnl Exp ~ Dép'!$F304</f>
        <v>0</v>
      </c>
      <c r="F801" s="1519"/>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2">
      <c r="B802" s="146">
        <f>IF(AND('Jrnl Exp ~ Dép'!$G305&lt;&gt;"",'Jrnl Exp ~ Dép'!$C305&lt;&gt;""),1,0)</f>
        <v>0</v>
      </c>
      <c r="C802" s="146">
        <f>'Jrnl Exp ~ Dép'!$C305</f>
        <v>0</v>
      </c>
      <c r="D802" s="168">
        <f>'Jrnl Exp ~ Dép'!$D305</f>
        <v>0</v>
      </c>
      <c r="E802" s="1519">
        <f>'Jrnl Exp ~ Dép'!$F305</f>
        <v>0</v>
      </c>
      <c r="F802" s="1519"/>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2">
      <c r="B803" s="146">
        <f>IF(AND('Jrnl Exp ~ Dép'!$G306&lt;&gt;"",'Jrnl Exp ~ Dép'!$C306&lt;&gt;""),1,0)</f>
        <v>0</v>
      </c>
      <c r="C803" s="146">
        <f>'Jrnl Exp ~ Dép'!$C306</f>
        <v>0</v>
      </c>
      <c r="D803" s="168">
        <f>'Jrnl Exp ~ Dép'!$D306</f>
        <v>0</v>
      </c>
      <c r="E803" s="1519">
        <f>'Jrnl Exp ~ Dép'!$F306</f>
        <v>0</v>
      </c>
      <c r="F803" s="1519"/>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2">
      <c r="B804" s="146">
        <f>IF(AND('Jrnl Exp ~ Dép'!$G307&lt;&gt;"",'Jrnl Exp ~ Dép'!$C307&lt;&gt;""),1,0)</f>
        <v>0</v>
      </c>
      <c r="C804" s="146">
        <f>'Jrnl Exp ~ Dép'!$C307</f>
        <v>0</v>
      </c>
      <c r="D804" s="168">
        <f>'Jrnl Exp ~ Dép'!$D307</f>
        <v>0</v>
      </c>
      <c r="E804" s="1519">
        <f>'Jrnl Exp ~ Dép'!$F307</f>
        <v>0</v>
      </c>
      <c r="F804" s="1519"/>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2">
      <c r="B805" s="146">
        <f>IF(AND('Jrnl Exp ~ Dép'!$G308&lt;&gt;"",'Jrnl Exp ~ Dép'!$C308&lt;&gt;""),1,0)</f>
        <v>0</v>
      </c>
      <c r="C805" s="146">
        <f>'Jrnl Exp ~ Dép'!$C308</f>
        <v>0</v>
      </c>
      <c r="D805" s="168">
        <f>'Jrnl Exp ~ Dép'!$D308</f>
        <v>0</v>
      </c>
      <c r="E805" s="1519">
        <f>'Jrnl Exp ~ Dép'!$F308</f>
        <v>0</v>
      </c>
      <c r="F805" s="1519"/>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2">
      <c r="B806" s="146">
        <f>IF(AND('Jrnl Exp ~ Dép'!$G309&lt;&gt;"",'Jrnl Exp ~ Dép'!$C309&lt;&gt;""),1,0)</f>
        <v>0</v>
      </c>
      <c r="C806" s="146">
        <f>'Jrnl Exp ~ Dép'!$C309</f>
        <v>0</v>
      </c>
      <c r="D806" s="168">
        <f>'Jrnl Exp ~ Dép'!$D309</f>
        <v>0</v>
      </c>
      <c r="E806" s="1519">
        <f>'Jrnl Exp ~ Dép'!$F309</f>
        <v>0</v>
      </c>
      <c r="F806" s="1519"/>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2">
      <c r="B807" s="146">
        <f>IF(AND('Jrnl Exp ~ Dép'!$G310&lt;&gt;"",'Jrnl Exp ~ Dép'!$C310&lt;&gt;""),1,0)</f>
        <v>0</v>
      </c>
      <c r="C807" s="146">
        <f>'Jrnl Exp ~ Dép'!$C310</f>
        <v>0</v>
      </c>
      <c r="D807" s="168">
        <f>'Jrnl Exp ~ Dép'!$D310</f>
        <v>0</v>
      </c>
      <c r="E807" s="1519">
        <f>'Jrnl Exp ~ Dép'!$F310</f>
        <v>0</v>
      </c>
      <c r="F807" s="1519"/>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2">
      <c r="B808" s="146">
        <f>IF(AND('Jrnl Exp ~ Dép'!$G311&lt;&gt;"",'Jrnl Exp ~ Dép'!$C311&lt;&gt;""),1,0)</f>
        <v>0</v>
      </c>
      <c r="C808" s="146">
        <f>'Jrnl Exp ~ Dép'!$C311</f>
        <v>0</v>
      </c>
      <c r="D808" s="168">
        <f>'Jrnl Exp ~ Dép'!$D311</f>
        <v>0</v>
      </c>
      <c r="E808" s="1519">
        <f>'Jrnl Exp ~ Dép'!$F311</f>
        <v>0</v>
      </c>
      <c r="F808" s="1519"/>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2">
      <c r="B809" s="146">
        <f>IF(AND('Jrnl Exp ~ Dép'!$G312&lt;&gt;"",'Jrnl Exp ~ Dép'!$C312&lt;&gt;""),1,0)</f>
        <v>0</v>
      </c>
      <c r="C809" s="146">
        <f>'Jrnl Exp ~ Dép'!$C312</f>
        <v>0</v>
      </c>
      <c r="D809" s="168">
        <f>'Jrnl Exp ~ Dép'!$D312</f>
        <v>0</v>
      </c>
      <c r="E809" s="1519">
        <f>'Jrnl Exp ~ Dép'!$F312</f>
        <v>0</v>
      </c>
      <c r="F809" s="1519"/>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2">
      <c r="B810" s="146">
        <f>IF(AND('Jrnl Exp ~ Dép'!$G313&lt;&gt;"",'Jrnl Exp ~ Dép'!$C313&lt;&gt;""),1,0)</f>
        <v>0</v>
      </c>
      <c r="C810" s="146">
        <f>'Jrnl Exp ~ Dép'!$C313</f>
        <v>0</v>
      </c>
      <c r="D810" s="168">
        <f>'Jrnl Exp ~ Dép'!$D313</f>
        <v>0</v>
      </c>
      <c r="E810" s="1519">
        <f>'Jrnl Exp ~ Dép'!$F313</f>
        <v>0</v>
      </c>
      <c r="F810" s="1519"/>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2">
      <c r="B811" s="146">
        <f>IF(AND('Jrnl Exp ~ Dép'!$G314&lt;&gt;"",'Jrnl Exp ~ Dép'!$C314&lt;&gt;""),1,0)</f>
        <v>0</v>
      </c>
      <c r="C811" s="146">
        <f>'Jrnl Exp ~ Dép'!$C314</f>
        <v>0</v>
      </c>
      <c r="D811" s="168">
        <f>'Jrnl Exp ~ Dép'!$D314</f>
        <v>0</v>
      </c>
      <c r="E811" s="1519">
        <f>'Jrnl Exp ~ Dép'!$F314</f>
        <v>0</v>
      </c>
      <c r="F811" s="1519"/>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2">
      <c r="B812" s="146">
        <f>IF(AND('Jrnl Exp ~ Dép'!$G315&lt;&gt;"",'Jrnl Exp ~ Dép'!$C315&lt;&gt;""),1,0)</f>
        <v>0</v>
      </c>
      <c r="C812" s="146">
        <f>'Jrnl Exp ~ Dép'!$C315</f>
        <v>0</v>
      </c>
      <c r="D812" s="168">
        <f>'Jrnl Exp ~ Dép'!$D315</f>
        <v>0</v>
      </c>
      <c r="E812" s="1519">
        <f>'Jrnl Exp ~ Dép'!$F315</f>
        <v>0</v>
      </c>
      <c r="F812" s="1519"/>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2">
      <c r="B813" s="146">
        <f>IF(AND('Jrnl Exp ~ Dép'!$G316&lt;&gt;"",'Jrnl Exp ~ Dép'!$C316&lt;&gt;""),1,0)</f>
        <v>0</v>
      </c>
      <c r="C813" s="146">
        <f>'Jrnl Exp ~ Dép'!$C316</f>
        <v>0</v>
      </c>
      <c r="D813" s="168">
        <f>'Jrnl Exp ~ Dép'!$D316</f>
        <v>0</v>
      </c>
      <c r="E813" s="1519">
        <f>'Jrnl Exp ~ Dép'!$F316</f>
        <v>0</v>
      </c>
      <c r="F813" s="1519"/>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2">
      <c r="B814" s="146">
        <f>IF(AND('Jrnl Exp ~ Dép'!$G317&lt;&gt;"",'Jrnl Exp ~ Dép'!$C317&lt;&gt;""),1,0)</f>
        <v>0</v>
      </c>
      <c r="C814" s="146">
        <f>'Jrnl Exp ~ Dép'!$C317</f>
        <v>0</v>
      </c>
      <c r="D814" s="168">
        <f>'Jrnl Exp ~ Dép'!$D317</f>
        <v>0</v>
      </c>
      <c r="E814" s="1519">
        <f>'Jrnl Exp ~ Dép'!$F317</f>
        <v>0</v>
      </c>
      <c r="F814" s="1519"/>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2">
      <c r="B815" s="146">
        <f>IF(AND('Jrnl Exp ~ Dép'!$G318&lt;&gt;"",'Jrnl Exp ~ Dép'!$C318&lt;&gt;""),1,0)</f>
        <v>0</v>
      </c>
      <c r="C815" s="146">
        <f>'Jrnl Exp ~ Dép'!$C318</f>
        <v>0</v>
      </c>
      <c r="D815" s="168">
        <f>'Jrnl Exp ~ Dép'!$D318</f>
        <v>0</v>
      </c>
      <c r="E815" s="1519">
        <f>'Jrnl Exp ~ Dép'!$F318</f>
        <v>0</v>
      </c>
      <c r="F815" s="1519"/>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2">
      <c r="B816" s="146">
        <f>IF(AND('Jrnl Exp ~ Dép'!$G319&lt;&gt;"",'Jrnl Exp ~ Dép'!$C319&lt;&gt;""),1,0)</f>
        <v>0</v>
      </c>
      <c r="C816" s="146">
        <f>'Jrnl Exp ~ Dép'!$C319</f>
        <v>0</v>
      </c>
      <c r="D816" s="168">
        <f>'Jrnl Exp ~ Dép'!$D319</f>
        <v>0</v>
      </c>
      <c r="E816" s="1519">
        <f>'Jrnl Exp ~ Dép'!$F319</f>
        <v>0</v>
      </c>
      <c r="F816" s="1519"/>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2">
      <c r="B817" s="146">
        <f>IF(AND('Jrnl Exp ~ Dép'!$G320&lt;&gt;"",'Jrnl Exp ~ Dép'!$C320&lt;&gt;""),1,0)</f>
        <v>0</v>
      </c>
      <c r="C817" s="146">
        <f>'Jrnl Exp ~ Dép'!$C320</f>
        <v>0</v>
      </c>
      <c r="D817" s="168">
        <f>'Jrnl Exp ~ Dép'!$D320</f>
        <v>0</v>
      </c>
      <c r="E817" s="1519">
        <f>'Jrnl Exp ~ Dép'!$F320</f>
        <v>0</v>
      </c>
      <c r="F817" s="1519"/>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2">
      <c r="B818" s="146">
        <f>IF(AND('Jrnl Exp ~ Dép'!$G321&lt;&gt;"",'Jrnl Exp ~ Dép'!$C321&lt;&gt;""),1,0)</f>
        <v>0</v>
      </c>
      <c r="C818" s="146">
        <f>'Jrnl Exp ~ Dép'!$C321</f>
        <v>0</v>
      </c>
      <c r="D818" s="168">
        <f>'Jrnl Exp ~ Dép'!$D321</f>
        <v>0</v>
      </c>
      <c r="E818" s="1519">
        <f>'Jrnl Exp ~ Dép'!$F321</f>
        <v>0</v>
      </c>
      <c r="F818" s="1519"/>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2">
      <c r="B819" s="146">
        <f>IF(AND('Jrnl Exp ~ Dép'!$G322&lt;&gt;"",'Jrnl Exp ~ Dép'!$C322&lt;&gt;""),1,0)</f>
        <v>0</v>
      </c>
      <c r="C819" s="146">
        <f>'Jrnl Exp ~ Dép'!$C322</f>
        <v>0</v>
      </c>
      <c r="D819" s="168">
        <f>'Jrnl Exp ~ Dép'!$D322</f>
        <v>0</v>
      </c>
      <c r="E819" s="1519">
        <f>'Jrnl Exp ~ Dép'!$F322</f>
        <v>0</v>
      </c>
      <c r="F819" s="1519"/>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2">
      <c r="B820" s="146">
        <f>IF(AND('Jrnl Exp ~ Dép'!$G323&lt;&gt;"",'Jrnl Exp ~ Dép'!$C323&lt;&gt;""),1,0)</f>
        <v>0</v>
      </c>
      <c r="C820" s="146">
        <f>'Jrnl Exp ~ Dép'!$C323</f>
        <v>0</v>
      </c>
      <c r="D820" s="168">
        <f>'Jrnl Exp ~ Dép'!$D323</f>
        <v>0</v>
      </c>
      <c r="E820" s="1519">
        <f>'Jrnl Exp ~ Dép'!$F323</f>
        <v>0</v>
      </c>
      <c r="F820" s="1519"/>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2">
      <c r="B821" s="146">
        <f>IF(AND('Jrnl Exp ~ Dép'!$G324&lt;&gt;"",'Jrnl Exp ~ Dép'!$C324&lt;&gt;""),1,0)</f>
        <v>0</v>
      </c>
      <c r="C821" s="146">
        <f>'Jrnl Exp ~ Dép'!$C324</f>
        <v>0</v>
      </c>
      <c r="D821" s="168">
        <f>'Jrnl Exp ~ Dép'!$D324</f>
        <v>0</v>
      </c>
      <c r="E821" s="1519">
        <f>'Jrnl Exp ~ Dép'!$F324</f>
        <v>0</v>
      </c>
      <c r="F821" s="1519"/>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2">
      <c r="B822" s="146">
        <f>IF(AND('Jrnl Exp ~ Dép'!$G325&lt;&gt;"",'Jrnl Exp ~ Dép'!$C325&lt;&gt;""),1,0)</f>
        <v>0</v>
      </c>
      <c r="C822" s="146">
        <f>'Jrnl Exp ~ Dép'!$C325</f>
        <v>0</v>
      </c>
      <c r="D822" s="168">
        <f>'Jrnl Exp ~ Dép'!$D325</f>
        <v>0</v>
      </c>
      <c r="E822" s="1519">
        <f>'Jrnl Exp ~ Dép'!$F325</f>
        <v>0</v>
      </c>
      <c r="F822" s="1519"/>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2">
      <c r="B823" s="146">
        <f>IF(AND('Jrnl Exp ~ Dép'!$G326&lt;&gt;"",'Jrnl Exp ~ Dép'!$C326&lt;&gt;""),1,0)</f>
        <v>0</v>
      </c>
      <c r="C823" s="146">
        <f>'Jrnl Exp ~ Dép'!$C326</f>
        <v>0</v>
      </c>
      <c r="D823" s="168">
        <f>'Jrnl Exp ~ Dép'!$D326</f>
        <v>0</v>
      </c>
      <c r="E823" s="1519">
        <f>'Jrnl Exp ~ Dép'!$F326</f>
        <v>0</v>
      </c>
      <c r="F823" s="1519"/>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2">
      <c r="B824" s="146">
        <f>IF(AND('Jrnl Exp ~ Dép'!$G327&lt;&gt;"",'Jrnl Exp ~ Dép'!$C327&lt;&gt;""),1,0)</f>
        <v>0</v>
      </c>
      <c r="C824" s="146">
        <f>'Jrnl Exp ~ Dép'!$C327</f>
        <v>0</v>
      </c>
      <c r="D824" s="168">
        <f>'Jrnl Exp ~ Dép'!$D327</f>
        <v>0</v>
      </c>
      <c r="E824" s="1519">
        <f>'Jrnl Exp ~ Dép'!$F327</f>
        <v>0</v>
      </c>
      <c r="F824" s="1519"/>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2">
      <c r="B825" s="146">
        <f>IF(AND('Jrnl Exp ~ Dép'!$G328&lt;&gt;"",'Jrnl Exp ~ Dép'!$C328&lt;&gt;""),1,0)</f>
        <v>0</v>
      </c>
      <c r="C825" s="146">
        <f>'Jrnl Exp ~ Dép'!$C328</f>
        <v>0</v>
      </c>
      <c r="D825" s="168">
        <f>'Jrnl Exp ~ Dép'!$D328</f>
        <v>0</v>
      </c>
      <c r="E825" s="1519">
        <f>'Jrnl Exp ~ Dép'!$F328</f>
        <v>0</v>
      </c>
      <c r="F825" s="1519"/>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2">
      <c r="B826" s="146">
        <f>IF(AND('Jrnl Exp ~ Dép'!$G329&lt;&gt;"",'Jrnl Exp ~ Dép'!$C329&lt;&gt;""),1,0)</f>
        <v>0</v>
      </c>
      <c r="C826" s="146">
        <f>'Jrnl Exp ~ Dép'!$C329</f>
        <v>0</v>
      </c>
      <c r="D826" s="168">
        <f>'Jrnl Exp ~ Dép'!$D329</f>
        <v>0</v>
      </c>
      <c r="E826" s="1519">
        <f>'Jrnl Exp ~ Dép'!$F329</f>
        <v>0</v>
      </c>
      <c r="F826" s="1519"/>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2">
      <c r="B827" s="146">
        <f>IF(AND('Jrnl Exp ~ Dép'!$G330&lt;&gt;"",'Jrnl Exp ~ Dép'!$C330&lt;&gt;""),1,0)</f>
        <v>0</v>
      </c>
      <c r="C827" s="146">
        <f>'Jrnl Exp ~ Dép'!$C330</f>
        <v>0</v>
      </c>
      <c r="D827" s="168">
        <f>'Jrnl Exp ~ Dép'!$D330</f>
        <v>0</v>
      </c>
      <c r="E827" s="1519">
        <f>'Jrnl Exp ~ Dép'!$F330</f>
        <v>0</v>
      </c>
      <c r="F827" s="1519"/>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2">
      <c r="B828" s="146">
        <f>IF(AND('Jrnl Exp ~ Dép'!$G331&lt;&gt;"",'Jrnl Exp ~ Dép'!$C331&lt;&gt;""),1,0)</f>
        <v>0</v>
      </c>
      <c r="C828" s="146">
        <f>'Jrnl Exp ~ Dép'!$C331</f>
        <v>0</v>
      </c>
      <c r="D828" s="168">
        <f>'Jrnl Exp ~ Dép'!$D331</f>
        <v>0</v>
      </c>
      <c r="E828" s="1519">
        <f>'Jrnl Exp ~ Dép'!$F331</f>
        <v>0</v>
      </c>
      <c r="F828" s="1519"/>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2">
      <c r="B829" s="146">
        <f>IF(AND('Jrnl Exp ~ Dép'!$G332&lt;&gt;"",'Jrnl Exp ~ Dép'!$C332&lt;&gt;""),1,0)</f>
        <v>0</v>
      </c>
      <c r="C829" s="146">
        <f>'Jrnl Exp ~ Dép'!$C332</f>
        <v>0</v>
      </c>
      <c r="D829" s="168">
        <f>'Jrnl Exp ~ Dép'!$D332</f>
        <v>0</v>
      </c>
      <c r="E829" s="1519">
        <f>'Jrnl Exp ~ Dép'!$F332</f>
        <v>0</v>
      </c>
      <c r="F829" s="1519"/>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2">
      <c r="B830" s="146">
        <f>IF(AND('Jrnl Exp ~ Dép'!$G333&lt;&gt;"",'Jrnl Exp ~ Dép'!$C333&lt;&gt;""),1,0)</f>
        <v>0</v>
      </c>
      <c r="C830" s="146">
        <f>'Jrnl Exp ~ Dép'!$C333</f>
        <v>0</v>
      </c>
      <c r="D830" s="168">
        <f>'Jrnl Exp ~ Dép'!$D333</f>
        <v>0</v>
      </c>
      <c r="E830" s="1519">
        <f>'Jrnl Exp ~ Dép'!$F333</f>
        <v>0</v>
      </c>
      <c r="F830" s="1519"/>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2">
      <c r="B831" s="146">
        <f>IF(AND('Jrnl Exp ~ Dép'!$G334&lt;&gt;"",'Jrnl Exp ~ Dép'!$C334&lt;&gt;""),1,0)</f>
        <v>0</v>
      </c>
      <c r="C831" s="146">
        <f>'Jrnl Exp ~ Dép'!$C334</f>
        <v>0</v>
      </c>
      <c r="D831" s="168">
        <f>'Jrnl Exp ~ Dép'!$D334</f>
        <v>0</v>
      </c>
      <c r="E831" s="1519">
        <f>'Jrnl Exp ~ Dép'!$F334</f>
        <v>0</v>
      </c>
      <c r="F831" s="1519"/>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2">
      <c r="B832" s="146">
        <f>IF(AND('Jrnl Exp ~ Dép'!$G335&lt;&gt;"",'Jrnl Exp ~ Dép'!$C335&lt;&gt;""),1,0)</f>
        <v>0</v>
      </c>
      <c r="C832" s="146">
        <f>'Jrnl Exp ~ Dép'!$C335</f>
        <v>0</v>
      </c>
      <c r="D832" s="168">
        <f>'Jrnl Exp ~ Dép'!$D335</f>
        <v>0</v>
      </c>
      <c r="E832" s="1519">
        <f>'Jrnl Exp ~ Dép'!$F335</f>
        <v>0</v>
      </c>
      <c r="F832" s="1519"/>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2">
      <c r="B833" s="146">
        <f>IF(AND('Jrnl Exp ~ Dép'!$G336&lt;&gt;"",'Jrnl Exp ~ Dép'!$C336&lt;&gt;""),1,0)</f>
        <v>0</v>
      </c>
      <c r="C833" s="146">
        <f>'Jrnl Exp ~ Dép'!$C336</f>
        <v>0</v>
      </c>
      <c r="D833" s="168">
        <f>'Jrnl Exp ~ Dép'!$D336</f>
        <v>0</v>
      </c>
      <c r="E833" s="1519">
        <f>'Jrnl Exp ~ Dép'!$F336</f>
        <v>0</v>
      </c>
      <c r="F833" s="1519"/>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2">
      <c r="B834" s="146">
        <f>IF(AND('Jrnl Exp ~ Dép'!$G337&lt;&gt;"",'Jrnl Exp ~ Dép'!$C337&lt;&gt;""),1,0)</f>
        <v>0</v>
      </c>
      <c r="C834" s="146">
        <f>'Jrnl Exp ~ Dép'!$C337</f>
        <v>0</v>
      </c>
      <c r="D834" s="168">
        <f>'Jrnl Exp ~ Dép'!$D337</f>
        <v>0</v>
      </c>
      <c r="E834" s="1519">
        <f>'Jrnl Exp ~ Dép'!$F337</f>
        <v>0</v>
      </c>
      <c r="F834" s="1519"/>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2">
      <c r="B835" s="146">
        <f>IF(AND('Jrnl Exp ~ Dép'!$G338&lt;&gt;"",'Jrnl Exp ~ Dép'!$C338&lt;&gt;""),1,0)</f>
        <v>0</v>
      </c>
      <c r="C835" s="146">
        <f>'Jrnl Exp ~ Dép'!$C338</f>
        <v>0</v>
      </c>
      <c r="D835" s="168">
        <f>'Jrnl Exp ~ Dép'!$D338</f>
        <v>0</v>
      </c>
      <c r="E835" s="1519">
        <f>'Jrnl Exp ~ Dép'!$F338</f>
        <v>0</v>
      </c>
      <c r="F835" s="1519"/>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2">
      <c r="B836" s="146">
        <f>IF(AND('Jrnl Exp ~ Dép'!$G339&lt;&gt;"",'Jrnl Exp ~ Dép'!$C339&lt;&gt;""),1,0)</f>
        <v>0</v>
      </c>
      <c r="C836" s="146">
        <f>'Jrnl Exp ~ Dép'!$C339</f>
        <v>0</v>
      </c>
      <c r="D836" s="168">
        <f>'Jrnl Exp ~ Dép'!$D339</f>
        <v>0</v>
      </c>
      <c r="E836" s="1519">
        <f>'Jrnl Exp ~ Dép'!$F339</f>
        <v>0</v>
      </c>
      <c r="F836" s="1519"/>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2">
      <c r="B837" s="146">
        <f>IF(AND('Jrnl Exp ~ Dép'!$G340&lt;&gt;"",'Jrnl Exp ~ Dép'!$C340&lt;&gt;""),1,0)</f>
        <v>0</v>
      </c>
      <c r="C837" s="146">
        <f>'Jrnl Exp ~ Dép'!$C340</f>
        <v>0</v>
      </c>
      <c r="D837" s="168">
        <f>'Jrnl Exp ~ Dép'!$D340</f>
        <v>0</v>
      </c>
      <c r="E837" s="1519">
        <f>'Jrnl Exp ~ Dép'!$F340</f>
        <v>0</v>
      </c>
      <c r="F837" s="1519"/>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2">
      <c r="B838" s="146">
        <f>IF(AND('Jrnl Exp ~ Dép'!$G341&lt;&gt;"",'Jrnl Exp ~ Dép'!$C341&lt;&gt;""),1,0)</f>
        <v>0</v>
      </c>
      <c r="C838" s="146">
        <f>'Jrnl Exp ~ Dép'!$C341</f>
        <v>0</v>
      </c>
      <c r="D838" s="168">
        <f>'Jrnl Exp ~ Dép'!$D341</f>
        <v>0</v>
      </c>
      <c r="E838" s="1519">
        <f>'Jrnl Exp ~ Dép'!$F341</f>
        <v>0</v>
      </c>
      <c r="F838" s="1519"/>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2">
      <c r="B839" s="146">
        <f>IF(AND('Jrnl Exp ~ Dép'!$G342&lt;&gt;"",'Jrnl Exp ~ Dép'!$C342&lt;&gt;""),1,0)</f>
        <v>0</v>
      </c>
      <c r="C839" s="146">
        <f>'Jrnl Exp ~ Dép'!$C342</f>
        <v>0</v>
      </c>
      <c r="D839" s="168">
        <f>'Jrnl Exp ~ Dép'!$D342</f>
        <v>0</v>
      </c>
      <c r="E839" s="1519">
        <f>'Jrnl Exp ~ Dép'!$F342</f>
        <v>0</v>
      </c>
      <c r="F839" s="1519"/>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2">
      <c r="B840" s="146">
        <f>IF(AND('Jrnl Exp ~ Dép'!$G343&lt;&gt;"",'Jrnl Exp ~ Dép'!$C343&lt;&gt;""),1,0)</f>
        <v>0</v>
      </c>
      <c r="C840" s="146">
        <f>'Jrnl Exp ~ Dép'!$C343</f>
        <v>0</v>
      </c>
      <c r="D840" s="168">
        <f>'Jrnl Exp ~ Dép'!$D343</f>
        <v>0</v>
      </c>
      <c r="E840" s="1519">
        <f>'Jrnl Exp ~ Dép'!$F343</f>
        <v>0</v>
      </c>
      <c r="F840" s="1519"/>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2">
      <c r="B841" s="146">
        <f>IF(AND('Jrnl Exp ~ Dép'!$G344&lt;&gt;"",'Jrnl Exp ~ Dép'!$C344&lt;&gt;""),1,0)</f>
        <v>0</v>
      </c>
      <c r="C841" s="146">
        <f>'Jrnl Exp ~ Dép'!$C344</f>
        <v>0</v>
      </c>
      <c r="D841" s="168">
        <f>'Jrnl Exp ~ Dép'!$D344</f>
        <v>0</v>
      </c>
      <c r="E841" s="1519">
        <f>'Jrnl Exp ~ Dép'!$F344</f>
        <v>0</v>
      </c>
      <c r="F841" s="1519"/>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2">
      <c r="B842" s="146">
        <f>IF(AND('Jrnl Exp ~ Dép'!$G345&lt;&gt;"",'Jrnl Exp ~ Dép'!$C345&lt;&gt;""),1,0)</f>
        <v>0</v>
      </c>
      <c r="C842" s="146">
        <f>'Jrnl Exp ~ Dép'!$C345</f>
        <v>0</v>
      </c>
      <c r="D842" s="168">
        <f>'Jrnl Exp ~ Dép'!$D345</f>
        <v>0</v>
      </c>
      <c r="E842" s="1519">
        <f>'Jrnl Exp ~ Dép'!$F345</f>
        <v>0</v>
      </c>
      <c r="F842" s="1519"/>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2">
      <c r="B843" s="146">
        <f>IF(AND('Jrnl Exp ~ Dép'!$G346&lt;&gt;"",'Jrnl Exp ~ Dép'!$C346&lt;&gt;""),1,0)</f>
        <v>0</v>
      </c>
      <c r="C843" s="146">
        <f>'Jrnl Exp ~ Dép'!$C346</f>
        <v>0</v>
      </c>
      <c r="D843" s="168">
        <f>'Jrnl Exp ~ Dép'!$D346</f>
        <v>0</v>
      </c>
      <c r="E843" s="1519">
        <f>'Jrnl Exp ~ Dép'!$F346</f>
        <v>0</v>
      </c>
      <c r="F843" s="1519"/>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2">
      <c r="B844" s="146">
        <f>IF(AND('Jrnl Exp ~ Dép'!$G347&lt;&gt;"",'Jrnl Exp ~ Dép'!$C347&lt;&gt;""),1,0)</f>
        <v>0</v>
      </c>
      <c r="C844" s="146">
        <f>'Jrnl Exp ~ Dép'!$C347</f>
        <v>0</v>
      </c>
      <c r="D844" s="168">
        <f>'Jrnl Exp ~ Dép'!$D347</f>
        <v>0</v>
      </c>
      <c r="E844" s="1519">
        <f>'Jrnl Exp ~ Dép'!$F347</f>
        <v>0</v>
      </c>
      <c r="F844" s="1519"/>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2">
      <c r="B845" s="146">
        <f>IF(AND('Jrnl Exp ~ Dép'!$G348&lt;&gt;"",'Jrnl Exp ~ Dép'!$C348&lt;&gt;""),1,0)</f>
        <v>0</v>
      </c>
      <c r="C845" s="146">
        <f>'Jrnl Exp ~ Dép'!$C348</f>
        <v>0</v>
      </c>
      <c r="D845" s="168">
        <f>'Jrnl Exp ~ Dép'!$D348</f>
        <v>0</v>
      </c>
      <c r="E845" s="1519">
        <f>'Jrnl Exp ~ Dép'!$F348</f>
        <v>0</v>
      </c>
      <c r="F845" s="1519"/>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2">
      <c r="B846" s="146">
        <f>IF(AND('Jrnl Exp ~ Dép'!$G349&lt;&gt;"",'Jrnl Exp ~ Dép'!$C349&lt;&gt;""),1,0)</f>
        <v>0</v>
      </c>
      <c r="C846" s="146">
        <f>'Jrnl Exp ~ Dép'!$C349</f>
        <v>0</v>
      </c>
      <c r="D846" s="168">
        <f>'Jrnl Exp ~ Dép'!$D349</f>
        <v>0</v>
      </c>
      <c r="E846" s="1519">
        <f>'Jrnl Exp ~ Dép'!$F349</f>
        <v>0</v>
      </c>
      <c r="F846" s="1519"/>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2">
      <c r="B847" s="146">
        <f>IF(AND('Jrnl Exp ~ Dép'!$G350&lt;&gt;"",'Jrnl Exp ~ Dép'!$C350&lt;&gt;""),1,0)</f>
        <v>0</v>
      </c>
      <c r="C847" s="146">
        <f>'Jrnl Exp ~ Dép'!$C350</f>
        <v>0</v>
      </c>
      <c r="D847" s="168">
        <f>'Jrnl Exp ~ Dép'!$D350</f>
        <v>0</v>
      </c>
      <c r="E847" s="1519">
        <f>'Jrnl Exp ~ Dép'!$F350</f>
        <v>0</v>
      </c>
      <c r="F847" s="1519"/>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2">
      <c r="B848" s="146">
        <f>IF(AND('Jrnl Exp ~ Dép'!$G351&lt;&gt;"",'Jrnl Exp ~ Dép'!$C351&lt;&gt;""),1,0)</f>
        <v>0</v>
      </c>
      <c r="C848" s="146">
        <f>'Jrnl Exp ~ Dép'!$C351</f>
        <v>0</v>
      </c>
      <c r="D848" s="168">
        <f>'Jrnl Exp ~ Dép'!$D351</f>
        <v>0</v>
      </c>
      <c r="E848" s="1519">
        <f>'Jrnl Exp ~ Dép'!$F351</f>
        <v>0</v>
      </c>
      <c r="F848" s="1519"/>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2">
      <c r="B849" s="146">
        <f>IF(AND('Jrnl Exp ~ Dép'!$G352&lt;&gt;"",'Jrnl Exp ~ Dép'!$C352&lt;&gt;""),1,0)</f>
        <v>0</v>
      </c>
      <c r="C849" s="146">
        <f>'Jrnl Exp ~ Dép'!$C352</f>
        <v>0</v>
      </c>
      <c r="D849" s="168">
        <f>'Jrnl Exp ~ Dép'!$D352</f>
        <v>0</v>
      </c>
      <c r="E849" s="1519">
        <f>'Jrnl Exp ~ Dép'!$F352</f>
        <v>0</v>
      </c>
      <c r="F849" s="1519"/>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2">
      <c r="B850" s="146">
        <f>IF(AND('Jrnl Exp ~ Dép'!$G353&lt;&gt;"",'Jrnl Exp ~ Dép'!$C353&lt;&gt;""),1,0)</f>
        <v>0</v>
      </c>
      <c r="C850" s="146">
        <f>'Jrnl Exp ~ Dép'!$C353</f>
        <v>0</v>
      </c>
      <c r="D850" s="168">
        <f>'Jrnl Exp ~ Dép'!$D353</f>
        <v>0</v>
      </c>
      <c r="E850" s="1519">
        <f>'Jrnl Exp ~ Dép'!$F353</f>
        <v>0</v>
      </c>
      <c r="F850" s="1519"/>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2">
      <c r="B851" s="146">
        <f>IF(AND('Jrnl Exp ~ Dép'!$G354&lt;&gt;"",'Jrnl Exp ~ Dép'!$C354&lt;&gt;""),1,0)</f>
        <v>0</v>
      </c>
      <c r="C851" s="146">
        <f>'Jrnl Exp ~ Dép'!$C354</f>
        <v>0</v>
      </c>
      <c r="D851" s="168">
        <f>'Jrnl Exp ~ Dép'!$D354</f>
        <v>0</v>
      </c>
      <c r="E851" s="1519">
        <f>'Jrnl Exp ~ Dép'!$F354</f>
        <v>0</v>
      </c>
      <c r="F851" s="1519"/>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2">
      <c r="B852" s="146">
        <f>IF(AND('Jrnl Exp ~ Dép'!$G355&lt;&gt;"",'Jrnl Exp ~ Dép'!$C355&lt;&gt;""),1,0)</f>
        <v>0</v>
      </c>
      <c r="C852" s="146">
        <f>'Jrnl Exp ~ Dép'!$C355</f>
        <v>0</v>
      </c>
      <c r="D852" s="168">
        <f>'Jrnl Exp ~ Dép'!$D355</f>
        <v>0</v>
      </c>
      <c r="E852" s="1519">
        <f>'Jrnl Exp ~ Dép'!$F355</f>
        <v>0</v>
      </c>
      <c r="F852" s="1519"/>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2">
      <c r="B853" s="146">
        <f>IF(AND('Jrnl Exp ~ Dép'!$G356&lt;&gt;"",'Jrnl Exp ~ Dép'!$C356&lt;&gt;""),1,0)</f>
        <v>0</v>
      </c>
      <c r="C853" s="146">
        <f>'Jrnl Exp ~ Dép'!$C356</f>
        <v>0</v>
      </c>
      <c r="D853" s="168">
        <f>'Jrnl Exp ~ Dép'!$D356</f>
        <v>0</v>
      </c>
      <c r="E853" s="1519">
        <f>'Jrnl Exp ~ Dép'!$F356</f>
        <v>0</v>
      </c>
      <c r="F853" s="1519"/>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2">
      <c r="B854" s="146">
        <f>IF(AND('Jrnl Exp ~ Dép'!$G357&lt;&gt;"",'Jrnl Exp ~ Dép'!$C357&lt;&gt;""),1,0)</f>
        <v>0</v>
      </c>
      <c r="C854" s="146">
        <f>'Jrnl Exp ~ Dép'!$C357</f>
        <v>0</v>
      </c>
      <c r="D854" s="168">
        <f>'Jrnl Exp ~ Dép'!$D357</f>
        <v>0</v>
      </c>
      <c r="E854" s="1519">
        <f>'Jrnl Exp ~ Dép'!$F357</f>
        <v>0</v>
      </c>
      <c r="F854" s="1519"/>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2">
      <c r="B855" s="146">
        <f>IF(AND('Jrnl Exp ~ Dép'!$G358&lt;&gt;"",'Jrnl Exp ~ Dép'!$C358&lt;&gt;""),1,0)</f>
        <v>0</v>
      </c>
      <c r="C855" s="146">
        <f>'Jrnl Exp ~ Dép'!$C358</f>
        <v>0</v>
      </c>
      <c r="D855" s="168">
        <f>'Jrnl Exp ~ Dép'!$D358</f>
        <v>0</v>
      </c>
      <c r="E855" s="1519">
        <f>'Jrnl Exp ~ Dép'!$F358</f>
        <v>0</v>
      </c>
      <c r="F855" s="1519"/>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2">
      <c r="B856" s="146">
        <f>IF(AND('Jrnl Exp ~ Dép'!$G359&lt;&gt;"",'Jrnl Exp ~ Dép'!$C359&lt;&gt;""),1,0)</f>
        <v>0</v>
      </c>
      <c r="C856" s="146">
        <f>'Jrnl Exp ~ Dép'!$C359</f>
        <v>0</v>
      </c>
      <c r="D856" s="168">
        <f>'Jrnl Exp ~ Dép'!$D359</f>
        <v>0</v>
      </c>
      <c r="E856" s="1519">
        <f>'Jrnl Exp ~ Dép'!$F359</f>
        <v>0</v>
      </c>
      <c r="F856" s="1519"/>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2">
      <c r="B857" s="146">
        <f>IF(AND('Jrnl Exp ~ Dép'!$G360&lt;&gt;"",'Jrnl Exp ~ Dép'!$C360&lt;&gt;""),1,0)</f>
        <v>0</v>
      </c>
      <c r="C857" s="146">
        <f>'Jrnl Exp ~ Dép'!$C360</f>
        <v>0</v>
      </c>
      <c r="D857" s="168">
        <f>'Jrnl Exp ~ Dép'!$D360</f>
        <v>0</v>
      </c>
      <c r="E857" s="1519">
        <f>'Jrnl Exp ~ Dép'!$F360</f>
        <v>0</v>
      </c>
      <c r="F857" s="1519"/>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2">
      <c r="B858" s="146">
        <f>IF(AND('Jrnl Exp ~ Dép'!$G361&lt;&gt;"",'Jrnl Exp ~ Dép'!$C361&lt;&gt;""),1,0)</f>
        <v>0</v>
      </c>
      <c r="C858" s="146">
        <f>'Jrnl Exp ~ Dép'!$C361</f>
        <v>0</v>
      </c>
      <c r="D858" s="168">
        <f>'Jrnl Exp ~ Dép'!$D361</f>
        <v>0</v>
      </c>
      <c r="E858" s="1519">
        <f>'Jrnl Exp ~ Dép'!$F361</f>
        <v>0</v>
      </c>
      <c r="F858" s="1519"/>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2">
      <c r="B859" s="146">
        <f>IF(AND('Jrnl Exp ~ Dép'!$G362&lt;&gt;"",'Jrnl Exp ~ Dép'!$C362&lt;&gt;""),1,0)</f>
        <v>0</v>
      </c>
      <c r="C859" s="146">
        <f>'Jrnl Exp ~ Dép'!$C362</f>
        <v>0</v>
      </c>
      <c r="D859" s="168">
        <f>'Jrnl Exp ~ Dép'!$D362</f>
        <v>0</v>
      </c>
      <c r="E859" s="1519">
        <f>'Jrnl Exp ~ Dép'!$F362</f>
        <v>0</v>
      </c>
      <c r="F859" s="1519"/>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2">
      <c r="B860" s="146">
        <f>IF(AND('Jrnl Exp ~ Dép'!$G363&lt;&gt;"",'Jrnl Exp ~ Dép'!$C363&lt;&gt;""),1,0)</f>
        <v>0</v>
      </c>
      <c r="C860" s="146">
        <f>'Jrnl Exp ~ Dép'!$C363</f>
        <v>0</v>
      </c>
      <c r="D860" s="168">
        <f>'Jrnl Exp ~ Dép'!$D363</f>
        <v>0</v>
      </c>
      <c r="E860" s="1519">
        <f>'Jrnl Exp ~ Dép'!$F363</f>
        <v>0</v>
      </c>
      <c r="F860" s="1519"/>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2">
      <c r="B861" s="146">
        <f>IF(AND('Jrnl Exp ~ Dép'!$G364&lt;&gt;"",'Jrnl Exp ~ Dép'!$C364&lt;&gt;""),1,0)</f>
        <v>0</v>
      </c>
      <c r="C861" s="146">
        <f>'Jrnl Exp ~ Dép'!$C364</f>
        <v>0</v>
      </c>
      <c r="D861" s="168">
        <f>'Jrnl Exp ~ Dép'!$D364</f>
        <v>0</v>
      </c>
      <c r="E861" s="1519">
        <f>'Jrnl Exp ~ Dép'!$F364</f>
        <v>0</v>
      </c>
      <c r="F861" s="1519"/>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2">
      <c r="B862" s="146">
        <f>IF(AND('Jrnl Exp ~ Dép'!$G365&lt;&gt;"",'Jrnl Exp ~ Dép'!$C365&lt;&gt;""),1,0)</f>
        <v>0</v>
      </c>
      <c r="C862" s="146">
        <f>'Jrnl Exp ~ Dép'!$C365</f>
        <v>0</v>
      </c>
      <c r="D862" s="168">
        <f>'Jrnl Exp ~ Dép'!$D365</f>
        <v>0</v>
      </c>
      <c r="E862" s="1519">
        <f>'Jrnl Exp ~ Dép'!$F365</f>
        <v>0</v>
      </c>
      <c r="F862" s="1519"/>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2">
      <c r="B863" s="146">
        <f>IF(AND('Jrnl Exp ~ Dép'!$G366&lt;&gt;"",'Jrnl Exp ~ Dép'!$C366&lt;&gt;""),1,0)</f>
        <v>0</v>
      </c>
      <c r="C863" s="146">
        <f>'Jrnl Exp ~ Dép'!$C366</f>
        <v>0</v>
      </c>
      <c r="D863" s="168">
        <f>'Jrnl Exp ~ Dép'!$D366</f>
        <v>0</v>
      </c>
      <c r="E863" s="1519">
        <f>'Jrnl Exp ~ Dép'!$F366</f>
        <v>0</v>
      </c>
      <c r="F863" s="1519"/>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2">
      <c r="B864" s="146">
        <f>IF(AND('Jrnl Exp ~ Dép'!$G367&lt;&gt;"",'Jrnl Exp ~ Dép'!$C367&lt;&gt;""),1,0)</f>
        <v>0</v>
      </c>
      <c r="C864" s="146">
        <f>'Jrnl Exp ~ Dép'!$C367</f>
        <v>0</v>
      </c>
      <c r="D864" s="168">
        <f>'Jrnl Exp ~ Dép'!$D367</f>
        <v>0</v>
      </c>
      <c r="E864" s="1519">
        <f>'Jrnl Exp ~ Dép'!$F367</f>
        <v>0</v>
      </c>
      <c r="F864" s="1519"/>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2">
      <c r="B865" s="146">
        <f>IF(AND('Jrnl Exp ~ Dép'!$G368&lt;&gt;"",'Jrnl Exp ~ Dép'!$C368&lt;&gt;""),1,0)</f>
        <v>0</v>
      </c>
      <c r="C865" s="146">
        <f>'Jrnl Exp ~ Dép'!$C368</f>
        <v>0</v>
      </c>
      <c r="D865" s="168">
        <f>'Jrnl Exp ~ Dép'!$D368</f>
        <v>0</v>
      </c>
      <c r="E865" s="1519">
        <f>'Jrnl Exp ~ Dép'!$F368</f>
        <v>0</v>
      </c>
      <c r="F865" s="1519"/>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2">
      <c r="B866" s="146">
        <f>IF(AND('Jrnl Exp ~ Dép'!$G369&lt;&gt;"",'Jrnl Exp ~ Dép'!$C369&lt;&gt;""),1,0)</f>
        <v>0</v>
      </c>
      <c r="C866" s="146">
        <f>'Jrnl Exp ~ Dép'!$C369</f>
        <v>0</v>
      </c>
      <c r="D866" s="168">
        <f>'Jrnl Exp ~ Dép'!$D369</f>
        <v>0</v>
      </c>
      <c r="E866" s="1519">
        <f>'Jrnl Exp ~ Dép'!$F369</f>
        <v>0</v>
      </c>
      <c r="F866" s="1519"/>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2">
      <c r="B867" s="146">
        <f>IF(AND('Jrnl Exp ~ Dép'!$G370&lt;&gt;"",'Jrnl Exp ~ Dép'!$C370&lt;&gt;""),1,0)</f>
        <v>0</v>
      </c>
      <c r="C867" s="146">
        <f>'Jrnl Exp ~ Dép'!$C370</f>
        <v>0</v>
      </c>
      <c r="D867" s="168">
        <f>'Jrnl Exp ~ Dép'!$D370</f>
        <v>0</v>
      </c>
      <c r="E867" s="1519">
        <f>'Jrnl Exp ~ Dép'!$F370</f>
        <v>0</v>
      </c>
      <c r="F867" s="1519"/>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2">
      <c r="B868" s="146">
        <f>IF(AND('Jrnl Exp ~ Dép'!$G371&lt;&gt;"",'Jrnl Exp ~ Dép'!$C371&lt;&gt;""),1,0)</f>
        <v>0</v>
      </c>
      <c r="C868" s="146">
        <f>'Jrnl Exp ~ Dép'!$C371</f>
        <v>0</v>
      </c>
      <c r="D868" s="168">
        <f>'Jrnl Exp ~ Dép'!$D371</f>
        <v>0</v>
      </c>
      <c r="E868" s="1519">
        <f>'Jrnl Exp ~ Dép'!$F371</f>
        <v>0</v>
      </c>
      <c r="F868" s="1519"/>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2">
      <c r="B869" s="146">
        <f>IF(AND('Jrnl Exp ~ Dép'!$G372&lt;&gt;"",'Jrnl Exp ~ Dép'!$C372&lt;&gt;""),1,0)</f>
        <v>0</v>
      </c>
      <c r="C869" s="146">
        <f>'Jrnl Exp ~ Dép'!$C372</f>
        <v>0</v>
      </c>
      <c r="D869" s="168">
        <f>'Jrnl Exp ~ Dép'!$D372</f>
        <v>0</v>
      </c>
      <c r="E869" s="1519">
        <f>'Jrnl Exp ~ Dép'!$F372</f>
        <v>0</v>
      </c>
      <c r="F869" s="1519"/>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2">
      <c r="B870" s="146">
        <f>IF(AND('Jrnl Exp ~ Dép'!$G373&lt;&gt;"",'Jrnl Exp ~ Dép'!$C373&lt;&gt;""),1,0)</f>
        <v>0</v>
      </c>
      <c r="C870" s="146">
        <f>'Jrnl Exp ~ Dép'!$C373</f>
        <v>0</v>
      </c>
      <c r="D870" s="168">
        <f>'Jrnl Exp ~ Dép'!$D373</f>
        <v>0</v>
      </c>
      <c r="E870" s="1519">
        <f>'Jrnl Exp ~ Dép'!$F373</f>
        <v>0</v>
      </c>
      <c r="F870" s="1519"/>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2">
      <c r="B871" s="146">
        <f>IF(AND('Jrnl Exp ~ Dép'!$G374&lt;&gt;"",'Jrnl Exp ~ Dép'!$C374&lt;&gt;""),1,0)</f>
        <v>0</v>
      </c>
      <c r="C871" s="146">
        <f>'Jrnl Exp ~ Dép'!$C374</f>
        <v>0</v>
      </c>
      <c r="D871" s="168">
        <f>'Jrnl Exp ~ Dép'!$D374</f>
        <v>0</v>
      </c>
      <c r="E871" s="1519">
        <f>'Jrnl Exp ~ Dép'!$F374</f>
        <v>0</v>
      </c>
      <c r="F871" s="1519"/>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2">
      <c r="B872" s="146">
        <f>IF(AND('Jrnl Exp ~ Dép'!$G375&lt;&gt;"",'Jrnl Exp ~ Dép'!$C375&lt;&gt;""),1,0)</f>
        <v>0</v>
      </c>
      <c r="C872" s="146">
        <f>'Jrnl Exp ~ Dép'!$C375</f>
        <v>0</v>
      </c>
      <c r="D872" s="168">
        <f>'Jrnl Exp ~ Dép'!$D375</f>
        <v>0</v>
      </c>
      <c r="E872" s="1519">
        <f>'Jrnl Exp ~ Dép'!$F375</f>
        <v>0</v>
      </c>
      <c r="F872" s="1519"/>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2">
      <c r="B873" s="146">
        <f>IF(AND('Jrnl Exp ~ Dép'!$G376&lt;&gt;"",'Jrnl Exp ~ Dép'!$C376&lt;&gt;""),1,0)</f>
        <v>0</v>
      </c>
      <c r="C873" s="146">
        <f>'Jrnl Exp ~ Dép'!$C376</f>
        <v>0</v>
      </c>
      <c r="D873" s="168">
        <f>'Jrnl Exp ~ Dép'!$D376</f>
        <v>0</v>
      </c>
      <c r="E873" s="1519">
        <f>'Jrnl Exp ~ Dép'!$F376</f>
        <v>0</v>
      </c>
      <c r="F873" s="1519"/>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2">
      <c r="B874" s="146">
        <f>IF(AND('Jrnl Exp ~ Dép'!$G377&lt;&gt;"",'Jrnl Exp ~ Dép'!$C377&lt;&gt;""),1,0)</f>
        <v>0</v>
      </c>
      <c r="C874" s="146">
        <f>'Jrnl Exp ~ Dép'!$C377</f>
        <v>0</v>
      </c>
      <c r="D874" s="168">
        <f>'Jrnl Exp ~ Dép'!$D377</f>
        <v>0</v>
      </c>
      <c r="E874" s="1519">
        <f>'Jrnl Exp ~ Dép'!$F377</f>
        <v>0</v>
      </c>
      <c r="F874" s="1519"/>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2">
      <c r="B875" s="146">
        <f>IF(AND('Jrnl Exp ~ Dép'!$G378&lt;&gt;"",'Jrnl Exp ~ Dép'!$C378&lt;&gt;""),1,0)</f>
        <v>0</v>
      </c>
      <c r="C875" s="146">
        <f>'Jrnl Exp ~ Dép'!$C378</f>
        <v>0</v>
      </c>
      <c r="D875" s="168">
        <f>'Jrnl Exp ~ Dép'!$D378</f>
        <v>0</v>
      </c>
      <c r="E875" s="1519">
        <f>'Jrnl Exp ~ Dép'!$F378</f>
        <v>0</v>
      </c>
      <c r="F875" s="1519"/>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2">
      <c r="B876" s="146">
        <f>IF(AND('Jrnl Exp ~ Dép'!$G379&lt;&gt;"",'Jrnl Exp ~ Dép'!$C379&lt;&gt;""),1,0)</f>
        <v>0</v>
      </c>
      <c r="C876" s="146">
        <f>'Jrnl Exp ~ Dép'!$C379</f>
        <v>0</v>
      </c>
      <c r="D876" s="168">
        <f>'Jrnl Exp ~ Dép'!$D379</f>
        <v>0</v>
      </c>
      <c r="E876" s="1519">
        <f>'Jrnl Exp ~ Dép'!$F379</f>
        <v>0</v>
      </c>
      <c r="F876" s="1519"/>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2">
      <c r="B877" s="146">
        <f>IF(AND('Jrnl Exp ~ Dép'!$G380&lt;&gt;"",'Jrnl Exp ~ Dép'!$C380&lt;&gt;""),1,0)</f>
        <v>0</v>
      </c>
      <c r="C877" s="146">
        <f>'Jrnl Exp ~ Dép'!$C380</f>
        <v>0</v>
      </c>
      <c r="D877" s="168">
        <f>'Jrnl Exp ~ Dép'!$D380</f>
        <v>0</v>
      </c>
      <c r="E877" s="1519">
        <f>'Jrnl Exp ~ Dép'!$F380</f>
        <v>0</v>
      </c>
      <c r="F877" s="1519"/>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2">
      <c r="B878" s="146">
        <f>IF(AND('Jrnl Exp ~ Dép'!$G381&lt;&gt;"",'Jrnl Exp ~ Dép'!$C381&lt;&gt;""),1,0)</f>
        <v>0</v>
      </c>
      <c r="C878" s="146">
        <f>'Jrnl Exp ~ Dép'!$C381</f>
        <v>0</v>
      </c>
      <c r="D878" s="168">
        <f>'Jrnl Exp ~ Dép'!$D381</f>
        <v>0</v>
      </c>
      <c r="E878" s="1519">
        <f>'Jrnl Exp ~ Dép'!$F381</f>
        <v>0</v>
      </c>
      <c r="F878" s="1519"/>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2">
      <c r="B879" s="146">
        <f>IF(AND('Jrnl Exp ~ Dép'!$G382&lt;&gt;"",'Jrnl Exp ~ Dép'!$C382&lt;&gt;""),1,0)</f>
        <v>0</v>
      </c>
      <c r="C879" s="146">
        <f>'Jrnl Exp ~ Dép'!$C382</f>
        <v>0</v>
      </c>
      <c r="D879" s="168">
        <f>'Jrnl Exp ~ Dép'!$D382</f>
        <v>0</v>
      </c>
      <c r="E879" s="1519">
        <f>'Jrnl Exp ~ Dép'!$F382</f>
        <v>0</v>
      </c>
      <c r="F879" s="1519"/>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2">
      <c r="B880" s="146">
        <f>IF(AND('Jrnl Exp ~ Dép'!$G383&lt;&gt;"",'Jrnl Exp ~ Dép'!$C383&lt;&gt;""),1,0)</f>
        <v>0</v>
      </c>
      <c r="C880" s="146">
        <f>'Jrnl Exp ~ Dép'!$C383</f>
        <v>0</v>
      </c>
      <c r="D880" s="168">
        <f>'Jrnl Exp ~ Dép'!$D383</f>
        <v>0</v>
      </c>
      <c r="E880" s="1519">
        <f>'Jrnl Exp ~ Dép'!$F383</f>
        <v>0</v>
      </c>
      <c r="F880" s="1519"/>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2">
      <c r="B881" s="146">
        <f>IF(AND('Jrnl Exp ~ Dép'!$G384&lt;&gt;"",'Jrnl Exp ~ Dép'!$C384&lt;&gt;""),1,0)</f>
        <v>0</v>
      </c>
      <c r="C881" s="146">
        <f>'Jrnl Exp ~ Dép'!$C384</f>
        <v>0</v>
      </c>
      <c r="D881" s="168">
        <f>'Jrnl Exp ~ Dép'!$D384</f>
        <v>0</v>
      </c>
      <c r="E881" s="1519">
        <f>'Jrnl Exp ~ Dép'!$F384</f>
        <v>0</v>
      </c>
      <c r="F881" s="1519"/>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2">
      <c r="B882" s="146">
        <f>IF(AND('Jrnl Exp ~ Dép'!$G385&lt;&gt;"",'Jrnl Exp ~ Dép'!$C385&lt;&gt;""),1,0)</f>
        <v>0</v>
      </c>
      <c r="C882" s="146">
        <f>'Jrnl Exp ~ Dép'!$C385</f>
        <v>0</v>
      </c>
      <c r="D882" s="168">
        <f>'Jrnl Exp ~ Dép'!$D385</f>
        <v>0</v>
      </c>
      <c r="E882" s="1519">
        <f>'Jrnl Exp ~ Dép'!$F385</f>
        <v>0</v>
      </c>
      <c r="F882" s="1519"/>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2">
      <c r="B883" s="146">
        <f>IF(AND('Jrnl Exp ~ Dép'!$G386&lt;&gt;"",'Jrnl Exp ~ Dép'!$C386&lt;&gt;""),1,0)</f>
        <v>0</v>
      </c>
      <c r="C883" s="146">
        <f>'Jrnl Exp ~ Dép'!$C386</f>
        <v>0</v>
      </c>
      <c r="D883" s="168">
        <f>'Jrnl Exp ~ Dép'!$D386</f>
        <v>0</v>
      </c>
      <c r="E883" s="1519">
        <f>'Jrnl Exp ~ Dép'!$F386</f>
        <v>0</v>
      </c>
      <c r="F883" s="1519"/>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2">
      <c r="B884" s="146">
        <f>IF(AND('Jrnl Exp ~ Dép'!$G387&lt;&gt;"",'Jrnl Exp ~ Dép'!$C387&lt;&gt;""),1,0)</f>
        <v>0</v>
      </c>
      <c r="C884" s="146">
        <f>'Jrnl Exp ~ Dép'!$C387</f>
        <v>0</v>
      </c>
      <c r="D884" s="168">
        <f>'Jrnl Exp ~ Dép'!$D387</f>
        <v>0</v>
      </c>
      <c r="E884" s="1519">
        <f>'Jrnl Exp ~ Dép'!$F387</f>
        <v>0</v>
      </c>
      <c r="F884" s="1519"/>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2">
      <c r="B885" s="146">
        <f>IF(AND('Jrnl Exp ~ Dép'!$G388&lt;&gt;"",'Jrnl Exp ~ Dép'!$C388&lt;&gt;""),1,0)</f>
        <v>0</v>
      </c>
      <c r="C885" s="146">
        <f>'Jrnl Exp ~ Dép'!$C388</f>
        <v>0</v>
      </c>
      <c r="D885" s="168">
        <f>'Jrnl Exp ~ Dép'!$D388</f>
        <v>0</v>
      </c>
      <c r="E885" s="1519">
        <f>'Jrnl Exp ~ Dép'!$F388</f>
        <v>0</v>
      </c>
      <c r="F885" s="1519"/>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2">
      <c r="B886" s="146">
        <f>IF(AND('Jrnl Exp ~ Dép'!$G389&lt;&gt;"",'Jrnl Exp ~ Dép'!$C389&lt;&gt;""),1,0)</f>
        <v>0</v>
      </c>
      <c r="C886" s="146">
        <f>'Jrnl Exp ~ Dép'!$C389</f>
        <v>0</v>
      </c>
      <c r="D886" s="168">
        <f>'Jrnl Exp ~ Dép'!$D389</f>
        <v>0</v>
      </c>
      <c r="E886" s="1519">
        <f>'Jrnl Exp ~ Dép'!$F389</f>
        <v>0</v>
      </c>
      <c r="F886" s="1519"/>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2">
      <c r="B887" s="146">
        <f>IF(AND('Jrnl Exp ~ Dép'!$G390&lt;&gt;"",'Jrnl Exp ~ Dép'!$C390&lt;&gt;""),1,0)</f>
        <v>0</v>
      </c>
      <c r="C887" s="146">
        <f>'Jrnl Exp ~ Dép'!$C390</f>
        <v>0</v>
      </c>
      <c r="D887" s="168">
        <f>'Jrnl Exp ~ Dép'!$D390</f>
        <v>0</v>
      </c>
      <c r="E887" s="1519">
        <f>'Jrnl Exp ~ Dép'!$F390</f>
        <v>0</v>
      </c>
      <c r="F887" s="1519"/>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2">
      <c r="B888" s="146">
        <f>IF(AND('Jrnl Exp ~ Dép'!$G391&lt;&gt;"",'Jrnl Exp ~ Dép'!$C391&lt;&gt;""),1,0)</f>
        <v>0</v>
      </c>
      <c r="C888" s="146">
        <f>'Jrnl Exp ~ Dép'!$C391</f>
        <v>0</v>
      </c>
      <c r="D888" s="168">
        <f>'Jrnl Exp ~ Dép'!$D391</f>
        <v>0</v>
      </c>
      <c r="E888" s="1519">
        <f>'Jrnl Exp ~ Dép'!$F391</f>
        <v>0</v>
      </c>
      <c r="F888" s="1519"/>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2">
      <c r="B889" s="146">
        <f>IF(AND('Jrnl Exp ~ Dép'!$G392&lt;&gt;"",'Jrnl Exp ~ Dép'!$C392&lt;&gt;""),1,0)</f>
        <v>0</v>
      </c>
      <c r="C889" s="146">
        <f>'Jrnl Exp ~ Dép'!$C392</f>
        <v>0</v>
      </c>
      <c r="D889" s="168">
        <f>'Jrnl Exp ~ Dép'!$D392</f>
        <v>0</v>
      </c>
      <c r="E889" s="1519">
        <f>'Jrnl Exp ~ Dép'!$F392</f>
        <v>0</v>
      </c>
      <c r="F889" s="1519"/>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2">
      <c r="B890" s="146">
        <f>IF(AND('Jrnl Exp ~ Dép'!$G393&lt;&gt;"",'Jrnl Exp ~ Dép'!$C393&lt;&gt;""),1,0)</f>
        <v>0</v>
      </c>
      <c r="C890" s="146">
        <f>'Jrnl Exp ~ Dép'!$C393</f>
        <v>0</v>
      </c>
      <c r="D890" s="168">
        <f>'Jrnl Exp ~ Dép'!$D393</f>
        <v>0</v>
      </c>
      <c r="E890" s="1519">
        <f>'Jrnl Exp ~ Dép'!$F393</f>
        <v>0</v>
      </c>
      <c r="F890" s="1519"/>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2">
      <c r="B891" s="146">
        <f>IF(AND('Jrnl Exp ~ Dép'!$G394&lt;&gt;"",'Jrnl Exp ~ Dép'!$C394&lt;&gt;""),1,0)</f>
        <v>0</v>
      </c>
      <c r="C891" s="146">
        <f>'Jrnl Exp ~ Dép'!$C394</f>
        <v>0</v>
      </c>
      <c r="D891" s="168">
        <f>'Jrnl Exp ~ Dép'!$D394</f>
        <v>0</v>
      </c>
      <c r="E891" s="1519">
        <f>'Jrnl Exp ~ Dép'!$F394</f>
        <v>0</v>
      </c>
      <c r="F891" s="1519"/>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2">
      <c r="B892" s="146">
        <f>IF(AND('Jrnl Exp ~ Dép'!$G395&lt;&gt;"",'Jrnl Exp ~ Dép'!$C395&lt;&gt;""),1,0)</f>
        <v>0</v>
      </c>
      <c r="C892" s="146">
        <f>'Jrnl Exp ~ Dép'!$C395</f>
        <v>0</v>
      </c>
      <c r="D892" s="168">
        <f>'Jrnl Exp ~ Dép'!$D395</f>
        <v>0</v>
      </c>
      <c r="E892" s="1519">
        <f>'Jrnl Exp ~ Dép'!$F395</f>
        <v>0</v>
      </c>
      <c r="F892" s="1519"/>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2">
      <c r="B893" s="146">
        <f>IF(AND('Jrnl Exp ~ Dép'!$G396&lt;&gt;"",'Jrnl Exp ~ Dép'!$C396&lt;&gt;""),1,0)</f>
        <v>0</v>
      </c>
      <c r="C893" s="146">
        <f>'Jrnl Exp ~ Dép'!$C396</f>
        <v>0</v>
      </c>
      <c r="D893" s="168">
        <f>'Jrnl Exp ~ Dép'!$D396</f>
        <v>0</v>
      </c>
      <c r="E893" s="1519">
        <f>'Jrnl Exp ~ Dép'!$F396</f>
        <v>0</v>
      </c>
      <c r="F893" s="1519"/>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2">
      <c r="B894" s="146">
        <f>IF(AND('Jrnl Exp ~ Dép'!$G397&lt;&gt;"",'Jrnl Exp ~ Dép'!$C397&lt;&gt;""),1,0)</f>
        <v>0</v>
      </c>
      <c r="C894" s="146">
        <f>'Jrnl Exp ~ Dép'!$C397</f>
        <v>0</v>
      </c>
      <c r="D894" s="168">
        <f>'Jrnl Exp ~ Dép'!$D397</f>
        <v>0</v>
      </c>
      <c r="E894" s="1519">
        <f>'Jrnl Exp ~ Dép'!$F397</f>
        <v>0</v>
      </c>
      <c r="F894" s="1519"/>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2">
      <c r="B895" s="146">
        <f>IF(AND('Jrnl Exp ~ Dép'!$G398&lt;&gt;"",'Jrnl Exp ~ Dép'!$C398&lt;&gt;""),1,0)</f>
        <v>0</v>
      </c>
      <c r="C895" s="146">
        <f>'Jrnl Exp ~ Dép'!$C398</f>
        <v>0</v>
      </c>
      <c r="D895" s="168">
        <f>'Jrnl Exp ~ Dép'!$D398</f>
        <v>0</v>
      </c>
      <c r="E895" s="1519">
        <f>'Jrnl Exp ~ Dép'!$F398</f>
        <v>0</v>
      </c>
      <c r="F895" s="1519"/>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2">
      <c r="B896" s="146">
        <f>IF(AND('Jrnl Exp ~ Dép'!$G399&lt;&gt;"",'Jrnl Exp ~ Dép'!$C399&lt;&gt;""),1,0)</f>
        <v>0</v>
      </c>
      <c r="C896" s="146">
        <f>'Jrnl Exp ~ Dép'!$C399</f>
        <v>0</v>
      </c>
      <c r="D896" s="168">
        <f>'Jrnl Exp ~ Dép'!$D399</f>
        <v>0</v>
      </c>
      <c r="E896" s="1519">
        <f>'Jrnl Exp ~ Dép'!$F399</f>
        <v>0</v>
      </c>
      <c r="F896" s="1519"/>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2">
      <c r="B897" s="146">
        <f>IF(AND('Jrnl Exp ~ Dép'!$G400&lt;&gt;"",'Jrnl Exp ~ Dép'!$C400&lt;&gt;""),1,0)</f>
        <v>0</v>
      </c>
      <c r="C897" s="146">
        <f>'Jrnl Exp ~ Dép'!$C400</f>
        <v>0</v>
      </c>
      <c r="D897" s="168">
        <f>'Jrnl Exp ~ Dép'!$D400</f>
        <v>0</v>
      </c>
      <c r="E897" s="1519">
        <f>'Jrnl Exp ~ Dép'!$F400</f>
        <v>0</v>
      </c>
      <c r="F897" s="1519"/>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2">
      <c r="B898" s="146">
        <f>IF(AND('Jrnl Exp ~ Dép'!$G401&lt;&gt;"",'Jrnl Exp ~ Dép'!$C401&lt;&gt;""),1,0)</f>
        <v>0</v>
      </c>
      <c r="C898" s="146">
        <f>'Jrnl Exp ~ Dép'!$C401</f>
        <v>0</v>
      </c>
      <c r="D898" s="168">
        <f>'Jrnl Exp ~ Dép'!$D401</f>
        <v>0</v>
      </c>
      <c r="E898" s="1519">
        <f>'Jrnl Exp ~ Dép'!$F401</f>
        <v>0</v>
      </c>
      <c r="F898" s="1519"/>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2">
      <c r="B899" s="146">
        <f>IF(AND('Jrnl Exp ~ Dép'!$G402&lt;&gt;"",'Jrnl Exp ~ Dép'!$C402&lt;&gt;""),1,0)</f>
        <v>0</v>
      </c>
      <c r="C899" s="146">
        <f>'Jrnl Exp ~ Dép'!$C402</f>
        <v>0</v>
      </c>
      <c r="D899" s="168">
        <f>'Jrnl Exp ~ Dép'!$D402</f>
        <v>0</v>
      </c>
      <c r="E899" s="1519">
        <f>'Jrnl Exp ~ Dép'!$F402</f>
        <v>0</v>
      </c>
      <c r="F899" s="1519"/>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2">
      <c r="B900" s="146">
        <f>IF(AND('Jrnl Exp ~ Dép'!$G403&lt;&gt;"",'Jrnl Exp ~ Dép'!$C403&lt;&gt;""),1,0)</f>
        <v>0</v>
      </c>
      <c r="C900" s="146">
        <f>'Jrnl Exp ~ Dép'!$C403</f>
        <v>0</v>
      </c>
      <c r="D900" s="168">
        <f>'Jrnl Exp ~ Dép'!$D403</f>
        <v>0</v>
      </c>
      <c r="E900" s="1519">
        <f>'Jrnl Exp ~ Dép'!$F403</f>
        <v>0</v>
      </c>
      <c r="F900" s="1519"/>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2">
      <c r="B901" s="146">
        <f>IF(AND('Jrnl Exp ~ Dép'!$G404&lt;&gt;"",'Jrnl Exp ~ Dép'!$C404&lt;&gt;""),1,0)</f>
        <v>0</v>
      </c>
      <c r="C901" s="146">
        <f>'Jrnl Exp ~ Dép'!$C404</f>
        <v>0</v>
      </c>
      <c r="D901" s="168">
        <f>'Jrnl Exp ~ Dép'!$D404</f>
        <v>0</v>
      </c>
      <c r="E901" s="1519">
        <f>'Jrnl Exp ~ Dép'!$F404</f>
        <v>0</v>
      </c>
      <c r="F901" s="1519"/>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2">
      <c r="B902" s="146">
        <f>IF(AND('Jrnl Exp ~ Dép'!$G405&lt;&gt;"",'Jrnl Exp ~ Dép'!$C405&lt;&gt;""),1,0)</f>
        <v>0</v>
      </c>
      <c r="C902" s="146">
        <f>'Jrnl Exp ~ Dép'!$C405</f>
        <v>0</v>
      </c>
      <c r="D902" s="168">
        <f>'Jrnl Exp ~ Dép'!$D405</f>
        <v>0</v>
      </c>
      <c r="E902" s="1519">
        <f>'Jrnl Exp ~ Dép'!$F405</f>
        <v>0</v>
      </c>
      <c r="F902" s="1519"/>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2">
      <c r="B903" s="146">
        <f>IF(AND('Jrnl Exp ~ Dép'!$G406&lt;&gt;"",'Jrnl Exp ~ Dép'!$C406&lt;&gt;""),1,0)</f>
        <v>0</v>
      </c>
      <c r="C903" s="146">
        <f>'Jrnl Exp ~ Dép'!$C406</f>
        <v>0</v>
      </c>
      <c r="D903" s="168">
        <f>'Jrnl Exp ~ Dép'!$D406</f>
        <v>0</v>
      </c>
      <c r="E903" s="1519">
        <f>'Jrnl Exp ~ Dép'!$F406</f>
        <v>0</v>
      </c>
      <c r="F903" s="1519"/>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2">
      <c r="B904" s="146">
        <f>IF(AND('Jrnl Exp ~ Dép'!$G407&lt;&gt;"",'Jrnl Exp ~ Dép'!$C407&lt;&gt;""),1,0)</f>
        <v>0</v>
      </c>
      <c r="C904" s="146">
        <f>'Jrnl Exp ~ Dép'!$C407</f>
        <v>0</v>
      </c>
      <c r="D904" s="168">
        <f>'Jrnl Exp ~ Dép'!$D407</f>
        <v>0</v>
      </c>
      <c r="E904" s="1519">
        <f>'Jrnl Exp ~ Dép'!$F407</f>
        <v>0</v>
      </c>
      <c r="F904" s="1519"/>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2">
      <c r="B905" s="146">
        <f>IF(AND('Jrnl Exp ~ Dép'!$G408&lt;&gt;"",'Jrnl Exp ~ Dép'!$C408&lt;&gt;""),1,0)</f>
        <v>0</v>
      </c>
      <c r="C905" s="146">
        <f>'Jrnl Exp ~ Dép'!$C408</f>
        <v>0</v>
      </c>
      <c r="D905" s="168">
        <f>'Jrnl Exp ~ Dép'!$D408</f>
        <v>0</v>
      </c>
      <c r="E905" s="1519">
        <f>'Jrnl Exp ~ Dép'!$F408</f>
        <v>0</v>
      </c>
      <c r="F905" s="1519"/>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2">
      <c r="B906" s="146">
        <f>IF(AND('Jrnl Exp ~ Dép'!$G409&lt;&gt;"",'Jrnl Exp ~ Dép'!$C409&lt;&gt;""),1,0)</f>
        <v>0</v>
      </c>
      <c r="C906" s="146">
        <f>'Jrnl Exp ~ Dép'!$C409</f>
        <v>0</v>
      </c>
      <c r="D906" s="168">
        <f>'Jrnl Exp ~ Dép'!$D409</f>
        <v>0</v>
      </c>
      <c r="E906" s="1519">
        <f>'Jrnl Exp ~ Dép'!$F409</f>
        <v>0</v>
      </c>
      <c r="F906" s="1519"/>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2">
      <c r="B907" s="146">
        <f>IF(AND('Jrnl Exp ~ Dép'!$G410&lt;&gt;"",'Jrnl Exp ~ Dép'!$C410&lt;&gt;""),1,0)</f>
        <v>0</v>
      </c>
      <c r="C907" s="146">
        <f>'Jrnl Exp ~ Dép'!$C410</f>
        <v>0</v>
      </c>
      <c r="D907" s="168">
        <f>'Jrnl Exp ~ Dép'!$D410</f>
        <v>0</v>
      </c>
      <c r="E907" s="1519">
        <f>'Jrnl Exp ~ Dép'!$F410</f>
        <v>0</v>
      </c>
      <c r="F907" s="1519"/>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2">
      <c r="B908" s="146">
        <f>IF(AND('Jrnl Exp ~ Dép'!$G411&lt;&gt;"",'Jrnl Exp ~ Dép'!$C411&lt;&gt;""),1,0)</f>
        <v>0</v>
      </c>
      <c r="C908" s="146">
        <f>'Jrnl Exp ~ Dép'!$C411</f>
        <v>0</v>
      </c>
      <c r="D908" s="168">
        <f>'Jrnl Exp ~ Dép'!$D411</f>
        <v>0</v>
      </c>
      <c r="E908" s="1519">
        <f>'Jrnl Exp ~ Dép'!$F411</f>
        <v>0</v>
      </c>
      <c r="F908" s="1519"/>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2">
      <c r="B909" s="146">
        <f>IF(AND('Jrnl Exp ~ Dép'!$G412&lt;&gt;"",'Jrnl Exp ~ Dép'!$C412&lt;&gt;""),1,0)</f>
        <v>0</v>
      </c>
      <c r="C909" s="146">
        <f>'Jrnl Exp ~ Dép'!$C412</f>
        <v>0</v>
      </c>
      <c r="D909" s="168">
        <f>'Jrnl Exp ~ Dép'!$D412</f>
        <v>0</v>
      </c>
      <c r="E909" s="1519">
        <f>'Jrnl Exp ~ Dép'!$F412</f>
        <v>0</v>
      </c>
      <c r="F909" s="1519"/>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2">
      <c r="B910" s="146">
        <f>IF(AND('Jrnl Exp ~ Dép'!$G413&lt;&gt;"",'Jrnl Exp ~ Dép'!$C413&lt;&gt;""),1,0)</f>
        <v>0</v>
      </c>
      <c r="C910" s="146">
        <f>'Jrnl Exp ~ Dép'!$C413</f>
        <v>0</v>
      </c>
      <c r="D910" s="168">
        <f>'Jrnl Exp ~ Dép'!$D413</f>
        <v>0</v>
      </c>
      <c r="E910" s="1519">
        <f>'Jrnl Exp ~ Dép'!$F413</f>
        <v>0</v>
      </c>
      <c r="F910" s="1519"/>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2">
      <c r="B911" s="146">
        <f>IF(AND('Jrnl Exp ~ Dép'!$G414&lt;&gt;"",'Jrnl Exp ~ Dép'!$C414&lt;&gt;""),1,0)</f>
        <v>0</v>
      </c>
      <c r="C911" s="146">
        <f>'Jrnl Exp ~ Dép'!$C414</f>
        <v>0</v>
      </c>
      <c r="D911" s="168">
        <f>'Jrnl Exp ~ Dép'!$D414</f>
        <v>0</v>
      </c>
      <c r="E911" s="1519">
        <f>'Jrnl Exp ~ Dép'!$F414</f>
        <v>0</v>
      </c>
      <c r="F911" s="1519"/>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2">
      <c r="B912" s="146">
        <f>IF(AND('Jrnl Exp ~ Dép'!$G415&lt;&gt;"",'Jrnl Exp ~ Dép'!$C415&lt;&gt;""),1,0)</f>
        <v>0</v>
      </c>
      <c r="C912" s="146">
        <f>'Jrnl Exp ~ Dép'!$C415</f>
        <v>0</v>
      </c>
      <c r="D912" s="168">
        <f>'Jrnl Exp ~ Dép'!$D415</f>
        <v>0</v>
      </c>
      <c r="E912" s="1519">
        <f>'Jrnl Exp ~ Dép'!$F415</f>
        <v>0</v>
      </c>
      <c r="F912" s="1519"/>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2">
      <c r="B913" s="146">
        <f>IF(AND('Jrnl Exp ~ Dép'!$G416&lt;&gt;"",'Jrnl Exp ~ Dép'!$C416&lt;&gt;""),1,0)</f>
        <v>0</v>
      </c>
      <c r="C913" s="146">
        <f>'Jrnl Exp ~ Dép'!$C416</f>
        <v>0</v>
      </c>
      <c r="D913" s="168">
        <f>'Jrnl Exp ~ Dép'!$D416</f>
        <v>0</v>
      </c>
      <c r="E913" s="1519">
        <f>'Jrnl Exp ~ Dép'!$F416</f>
        <v>0</v>
      </c>
      <c r="F913" s="1519"/>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2">
      <c r="B914" s="146">
        <f>IF(AND('Jrnl Exp ~ Dép'!$G417&lt;&gt;"",'Jrnl Exp ~ Dép'!$C417&lt;&gt;""),1,0)</f>
        <v>0</v>
      </c>
      <c r="C914" s="146">
        <f>'Jrnl Exp ~ Dép'!$C417</f>
        <v>0</v>
      </c>
      <c r="D914" s="168">
        <f>'Jrnl Exp ~ Dép'!$D417</f>
        <v>0</v>
      </c>
      <c r="E914" s="1519">
        <f>'Jrnl Exp ~ Dép'!$F417</f>
        <v>0</v>
      </c>
      <c r="F914" s="1519"/>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2">
      <c r="B915" s="146">
        <f>IF(AND('Jrnl Exp ~ Dép'!$G418&lt;&gt;"",'Jrnl Exp ~ Dép'!$C418&lt;&gt;""),1,0)</f>
        <v>0</v>
      </c>
      <c r="C915" s="146">
        <f>'Jrnl Exp ~ Dép'!$C418</f>
        <v>0</v>
      </c>
      <c r="D915" s="168">
        <f>'Jrnl Exp ~ Dép'!$D418</f>
        <v>0</v>
      </c>
      <c r="E915" s="1519">
        <f>'Jrnl Exp ~ Dép'!$F418</f>
        <v>0</v>
      </c>
      <c r="F915" s="1519"/>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2">
      <c r="B916" s="146">
        <f>IF(AND('Jrnl Exp ~ Dép'!$G419&lt;&gt;"",'Jrnl Exp ~ Dép'!$C419&lt;&gt;""),1,0)</f>
        <v>0</v>
      </c>
      <c r="C916" s="146">
        <f>'Jrnl Exp ~ Dép'!$C419</f>
        <v>0</v>
      </c>
      <c r="D916" s="168">
        <f>'Jrnl Exp ~ Dép'!$D419</f>
        <v>0</v>
      </c>
      <c r="E916" s="1519">
        <f>'Jrnl Exp ~ Dép'!$F419</f>
        <v>0</v>
      </c>
      <c r="F916" s="1519"/>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2">
      <c r="B917" s="146">
        <f>IF(AND('Jrnl Exp ~ Dép'!$G420&lt;&gt;"",'Jrnl Exp ~ Dép'!$C420&lt;&gt;""),1,0)</f>
        <v>0</v>
      </c>
      <c r="C917" s="146">
        <f>'Jrnl Exp ~ Dép'!$C420</f>
        <v>0</v>
      </c>
      <c r="D917" s="168">
        <f>'Jrnl Exp ~ Dép'!$D420</f>
        <v>0</v>
      </c>
      <c r="E917" s="1519">
        <f>'Jrnl Exp ~ Dép'!$F420</f>
        <v>0</v>
      </c>
      <c r="F917" s="1519"/>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2">
      <c r="B918" s="146">
        <f>IF(AND('Jrnl Exp ~ Dép'!$G421&lt;&gt;"",'Jrnl Exp ~ Dép'!$C421&lt;&gt;""),1,0)</f>
        <v>0</v>
      </c>
      <c r="C918" s="146">
        <f>'Jrnl Exp ~ Dép'!$C421</f>
        <v>0</v>
      </c>
      <c r="D918" s="168">
        <f>'Jrnl Exp ~ Dép'!$D421</f>
        <v>0</v>
      </c>
      <c r="E918" s="1519">
        <f>'Jrnl Exp ~ Dép'!$F421</f>
        <v>0</v>
      </c>
      <c r="F918" s="1519"/>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2">
      <c r="B919" s="146">
        <f>IF(AND('Jrnl Exp ~ Dép'!$G422&lt;&gt;"",'Jrnl Exp ~ Dép'!$C422&lt;&gt;""),1,0)</f>
        <v>0</v>
      </c>
      <c r="C919" s="146">
        <f>'Jrnl Exp ~ Dép'!$C422</f>
        <v>0</v>
      </c>
      <c r="D919" s="168">
        <f>'Jrnl Exp ~ Dép'!$D422</f>
        <v>0</v>
      </c>
      <c r="E919" s="1519">
        <f>'Jrnl Exp ~ Dép'!$F422</f>
        <v>0</v>
      </c>
      <c r="F919" s="1519"/>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2">
      <c r="B920" s="146">
        <f>IF(AND('Jrnl Exp ~ Dép'!$G423&lt;&gt;"",'Jrnl Exp ~ Dép'!$C423&lt;&gt;""),1,0)</f>
        <v>0</v>
      </c>
      <c r="C920" s="146">
        <f>'Jrnl Exp ~ Dép'!$C423</f>
        <v>0</v>
      </c>
      <c r="D920" s="168">
        <f>'Jrnl Exp ~ Dép'!$D423</f>
        <v>0</v>
      </c>
      <c r="E920" s="1519">
        <f>'Jrnl Exp ~ Dép'!$F423</f>
        <v>0</v>
      </c>
      <c r="F920" s="1519"/>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2">
      <c r="B921" s="146">
        <f>IF(AND('Jrnl Exp ~ Dép'!$G424&lt;&gt;"",'Jrnl Exp ~ Dép'!$C424&lt;&gt;""),1,0)</f>
        <v>0</v>
      </c>
      <c r="C921" s="146">
        <f>'Jrnl Exp ~ Dép'!$C424</f>
        <v>0</v>
      </c>
      <c r="D921" s="168">
        <f>'Jrnl Exp ~ Dép'!$D424</f>
        <v>0</v>
      </c>
      <c r="E921" s="1519">
        <f>'Jrnl Exp ~ Dép'!$F424</f>
        <v>0</v>
      </c>
      <c r="F921" s="1519"/>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2">
      <c r="B922" s="146">
        <f>IF(AND('Jrnl Exp ~ Dép'!$G425&lt;&gt;"",'Jrnl Exp ~ Dép'!$C425&lt;&gt;""),1,0)</f>
        <v>0</v>
      </c>
      <c r="C922" s="146">
        <f>'Jrnl Exp ~ Dép'!$C425</f>
        <v>0</v>
      </c>
      <c r="D922" s="168">
        <f>'Jrnl Exp ~ Dép'!$D425</f>
        <v>0</v>
      </c>
      <c r="E922" s="1519">
        <f>'Jrnl Exp ~ Dép'!$F425</f>
        <v>0</v>
      </c>
      <c r="F922" s="1519"/>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2">
      <c r="B923" s="146">
        <f>IF(AND('Jrnl Exp ~ Dép'!$G426&lt;&gt;"",'Jrnl Exp ~ Dép'!$C426&lt;&gt;""),1,0)</f>
        <v>0</v>
      </c>
      <c r="C923" s="146">
        <f>'Jrnl Exp ~ Dép'!$C426</f>
        <v>0</v>
      </c>
      <c r="D923" s="168">
        <f>'Jrnl Exp ~ Dép'!$D426</f>
        <v>0</v>
      </c>
      <c r="E923" s="1519">
        <f>'Jrnl Exp ~ Dép'!$F426</f>
        <v>0</v>
      </c>
      <c r="F923" s="1519"/>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2">
      <c r="B924" s="146">
        <f>IF(AND('Jrnl Exp ~ Dép'!$G427&lt;&gt;"",'Jrnl Exp ~ Dép'!$C427&lt;&gt;""),1,0)</f>
        <v>0</v>
      </c>
      <c r="C924" s="146">
        <f>'Jrnl Exp ~ Dép'!$C427</f>
        <v>0</v>
      </c>
      <c r="D924" s="168">
        <f>'Jrnl Exp ~ Dép'!$D427</f>
        <v>0</v>
      </c>
      <c r="E924" s="1519">
        <f>'Jrnl Exp ~ Dép'!$F427</f>
        <v>0</v>
      </c>
      <c r="F924" s="1519"/>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2">
      <c r="B925" s="146">
        <f>IF(AND('Jrnl Exp ~ Dép'!$G428&lt;&gt;"",'Jrnl Exp ~ Dép'!$C428&lt;&gt;""),1,0)</f>
        <v>0</v>
      </c>
      <c r="C925" s="146">
        <f>'Jrnl Exp ~ Dép'!$C428</f>
        <v>0</v>
      </c>
      <c r="D925" s="168">
        <f>'Jrnl Exp ~ Dép'!$D428</f>
        <v>0</v>
      </c>
      <c r="E925" s="1519">
        <f>'Jrnl Exp ~ Dép'!$F428</f>
        <v>0</v>
      </c>
      <c r="F925" s="1519"/>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2">
      <c r="B926" s="146">
        <f>IF(AND('Jrnl Exp ~ Dép'!$G429&lt;&gt;"",'Jrnl Exp ~ Dép'!$C429&lt;&gt;""),1,0)</f>
        <v>0</v>
      </c>
      <c r="C926" s="146">
        <f>'Jrnl Exp ~ Dép'!$C429</f>
        <v>0</v>
      </c>
      <c r="D926" s="168">
        <f>'Jrnl Exp ~ Dép'!$D429</f>
        <v>0</v>
      </c>
      <c r="E926" s="1519">
        <f>'Jrnl Exp ~ Dép'!$F429</f>
        <v>0</v>
      </c>
      <c r="F926" s="1519"/>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2">
      <c r="B927" s="146">
        <f>IF(AND('Jrnl Exp ~ Dép'!$G430&lt;&gt;"",'Jrnl Exp ~ Dép'!$C430&lt;&gt;""),1,0)</f>
        <v>0</v>
      </c>
      <c r="C927" s="146">
        <f>'Jrnl Exp ~ Dép'!$C430</f>
        <v>0</v>
      </c>
      <c r="D927" s="168">
        <f>'Jrnl Exp ~ Dép'!$D430</f>
        <v>0</v>
      </c>
      <c r="E927" s="1519">
        <f>'Jrnl Exp ~ Dép'!$F430</f>
        <v>0</v>
      </c>
      <c r="F927" s="1519"/>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2">
      <c r="B928" s="146">
        <f>IF(AND('Jrnl Exp ~ Dép'!$G431&lt;&gt;"",'Jrnl Exp ~ Dép'!$C431&lt;&gt;""),1,0)</f>
        <v>0</v>
      </c>
      <c r="C928" s="146">
        <f>'Jrnl Exp ~ Dép'!$C431</f>
        <v>0</v>
      </c>
      <c r="D928" s="168">
        <f>'Jrnl Exp ~ Dép'!$D431</f>
        <v>0</v>
      </c>
      <c r="E928" s="1519">
        <f>'Jrnl Exp ~ Dép'!$F431</f>
        <v>0</v>
      </c>
      <c r="F928" s="1519"/>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2">
      <c r="B929" s="146">
        <f>IF(AND('Jrnl Exp ~ Dép'!$G432&lt;&gt;"",'Jrnl Exp ~ Dép'!$C432&lt;&gt;""),1,0)</f>
        <v>0</v>
      </c>
      <c r="C929" s="146">
        <f>'Jrnl Exp ~ Dép'!$C432</f>
        <v>0</v>
      </c>
      <c r="D929" s="168">
        <f>'Jrnl Exp ~ Dép'!$D432</f>
        <v>0</v>
      </c>
      <c r="E929" s="1519">
        <f>'Jrnl Exp ~ Dép'!$F432</f>
        <v>0</v>
      </c>
      <c r="F929" s="1519"/>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2">
      <c r="B930" s="146">
        <f>IF(AND('Jrnl Exp ~ Dép'!$G433&lt;&gt;"",'Jrnl Exp ~ Dép'!$C433&lt;&gt;""),1,0)</f>
        <v>0</v>
      </c>
      <c r="C930" s="146">
        <f>'Jrnl Exp ~ Dép'!$C433</f>
        <v>0</v>
      </c>
      <c r="D930" s="168">
        <f>'Jrnl Exp ~ Dép'!$D433</f>
        <v>0</v>
      </c>
      <c r="E930" s="1519">
        <f>'Jrnl Exp ~ Dép'!$F433</f>
        <v>0</v>
      </c>
      <c r="F930" s="1519"/>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2">
      <c r="B931" s="146">
        <f>IF(AND('Jrnl Exp ~ Dép'!$G434&lt;&gt;"",'Jrnl Exp ~ Dép'!$C434&lt;&gt;""),1,0)</f>
        <v>0</v>
      </c>
      <c r="C931" s="146">
        <f>'Jrnl Exp ~ Dép'!$C434</f>
        <v>0</v>
      </c>
      <c r="D931" s="168">
        <f>'Jrnl Exp ~ Dép'!$D434</f>
        <v>0</v>
      </c>
      <c r="E931" s="1519">
        <f>'Jrnl Exp ~ Dép'!$F434</f>
        <v>0</v>
      </c>
      <c r="F931" s="1519"/>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2">
      <c r="B932" s="146">
        <f>IF(AND('Jrnl Exp ~ Dép'!$G435&lt;&gt;"",'Jrnl Exp ~ Dép'!$C435&lt;&gt;""),1,0)</f>
        <v>0</v>
      </c>
      <c r="C932" s="146">
        <f>'Jrnl Exp ~ Dép'!$C435</f>
        <v>0</v>
      </c>
      <c r="D932" s="168">
        <f>'Jrnl Exp ~ Dép'!$D435</f>
        <v>0</v>
      </c>
      <c r="E932" s="1519">
        <f>'Jrnl Exp ~ Dép'!$F435</f>
        <v>0</v>
      </c>
      <c r="F932" s="1519"/>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2">
      <c r="B933" s="146">
        <f>IF(AND('Jrnl Exp ~ Dép'!$G436&lt;&gt;"",'Jrnl Exp ~ Dép'!$C436&lt;&gt;""),1,0)</f>
        <v>0</v>
      </c>
      <c r="C933" s="146">
        <f>'Jrnl Exp ~ Dép'!$C436</f>
        <v>0</v>
      </c>
      <c r="D933" s="168">
        <f>'Jrnl Exp ~ Dép'!$D436</f>
        <v>0</v>
      </c>
      <c r="E933" s="1519">
        <f>'Jrnl Exp ~ Dép'!$F436</f>
        <v>0</v>
      </c>
      <c r="F933" s="1519"/>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2">
      <c r="B934" s="146">
        <f>IF(AND('Jrnl Exp ~ Dép'!$G437&lt;&gt;"",'Jrnl Exp ~ Dép'!$C437&lt;&gt;""),1,0)</f>
        <v>0</v>
      </c>
      <c r="C934" s="146">
        <f>'Jrnl Exp ~ Dép'!$C437</f>
        <v>0</v>
      </c>
      <c r="D934" s="168">
        <f>'Jrnl Exp ~ Dép'!$D437</f>
        <v>0</v>
      </c>
      <c r="E934" s="1519">
        <f>'Jrnl Exp ~ Dép'!$F437</f>
        <v>0</v>
      </c>
      <c r="F934" s="1519"/>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2">
      <c r="B935" s="146">
        <f>IF(AND('Jrnl Exp ~ Dép'!$G438&lt;&gt;"",'Jrnl Exp ~ Dép'!$C438&lt;&gt;""),1,0)</f>
        <v>0</v>
      </c>
      <c r="C935" s="146">
        <f>'Jrnl Exp ~ Dép'!$C438</f>
        <v>0</v>
      </c>
      <c r="D935" s="168">
        <f>'Jrnl Exp ~ Dép'!$D438</f>
        <v>0</v>
      </c>
      <c r="E935" s="1519">
        <f>'Jrnl Exp ~ Dép'!$F438</f>
        <v>0</v>
      </c>
      <c r="F935" s="1519"/>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2">
      <c r="B936" s="146">
        <f>IF(AND('Jrnl Exp ~ Dép'!$G439&lt;&gt;"",'Jrnl Exp ~ Dép'!$C439&lt;&gt;""),1,0)</f>
        <v>0</v>
      </c>
      <c r="C936" s="146">
        <f>'Jrnl Exp ~ Dép'!$C439</f>
        <v>0</v>
      </c>
      <c r="D936" s="168">
        <f>'Jrnl Exp ~ Dép'!$D439</f>
        <v>0</v>
      </c>
      <c r="E936" s="1519">
        <f>'Jrnl Exp ~ Dép'!$F439</f>
        <v>0</v>
      </c>
      <c r="F936" s="1519"/>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2">
      <c r="B937" s="146">
        <f>IF(AND('Jrnl Exp ~ Dép'!$G440&lt;&gt;"",'Jrnl Exp ~ Dép'!$C440&lt;&gt;""),1,0)</f>
        <v>0</v>
      </c>
      <c r="C937" s="146">
        <f>'Jrnl Exp ~ Dép'!$C440</f>
        <v>0</v>
      </c>
      <c r="D937" s="168">
        <f>'Jrnl Exp ~ Dép'!$D440</f>
        <v>0</v>
      </c>
      <c r="E937" s="1519">
        <f>'Jrnl Exp ~ Dép'!$F440</f>
        <v>0</v>
      </c>
      <c r="F937" s="1519"/>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2">
      <c r="B938" s="146">
        <f>IF(AND('Jrnl Exp ~ Dép'!$G441&lt;&gt;"",'Jrnl Exp ~ Dép'!$C441&lt;&gt;""),1,0)</f>
        <v>0</v>
      </c>
      <c r="C938" s="146">
        <f>'Jrnl Exp ~ Dép'!$C441</f>
        <v>0</v>
      </c>
      <c r="D938" s="168">
        <f>'Jrnl Exp ~ Dép'!$D441</f>
        <v>0</v>
      </c>
      <c r="E938" s="1519">
        <f>'Jrnl Exp ~ Dép'!$F441</f>
        <v>0</v>
      </c>
      <c r="F938" s="1519"/>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2">
      <c r="B939" s="146">
        <f>IF(AND('Jrnl Exp ~ Dép'!$G442&lt;&gt;"",'Jrnl Exp ~ Dép'!$C442&lt;&gt;""),1,0)</f>
        <v>0</v>
      </c>
      <c r="C939" s="146">
        <f>'Jrnl Exp ~ Dép'!$C442</f>
        <v>0</v>
      </c>
      <c r="D939" s="168">
        <f>'Jrnl Exp ~ Dép'!$D442</f>
        <v>0</v>
      </c>
      <c r="E939" s="1519">
        <f>'Jrnl Exp ~ Dép'!$F442</f>
        <v>0</v>
      </c>
      <c r="F939" s="1519"/>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2">
      <c r="B940" s="146">
        <f>IF(AND('Jrnl Exp ~ Dép'!$G443&lt;&gt;"",'Jrnl Exp ~ Dép'!$C443&lt;&gt;""),1,0)</f>
        <v>0</v>
      </c>
      <c r="C940" s="146">
        <f>'Jrnl Exp ~ Dép'!$C443</f>
        <v>0</v>
      </c>
      <c r="D940" s="168">
        <f>'Jrnl Exp ~ Dép'!$D443</f>
        <v>0</v>
      </c>
      <c r="E940" s="1519">
        <f>'Jrnl Exp ~ Dép'!$F443</f>
        <v>0</v>
      </c>
      <c r="F940" s="1519"/>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2">
      <c r="B941" s="146">
        <f>IF(AND('Jrnl Exp ~ Dép'!$G444&lt;&gt;"",'Jrnl Exp ~ Dép'!$C444&lt;&gt;""),1,0)</f>
        <v>0</v>
      </c>
      <c r="C941" s="146">
        <f>'Jrnl Exp ~ Dép'!$C444</f>
        <v>0</v>
      </c>
      <c r="D941" s="168">
        <f>'Jrnl Exp ~ Dép'!$D444</f>
        <v>0</v>
      </c>
      <c r="E941" s="1519">
        <f>'Jrnl Exp ~ Dép'!$F444</f>
        <v>0</v>
      </c>
      <c r="F941" s="1519"/>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2">
      <c r="B942" s="146">
        <f>IF(AND('Jrnl Exp ~ Dép'!$G445&lt;&gt;"",'Jrnl Exp ~ Dép'!$C445&lt;&gt;""),1,0)</f>
        <v>0</v>
      </c>
      <c r="C942" s="146">
        <f>'Jrnl Exp ~ Dép'!$C445</f>
        <v>0</v>
      </c>
      <c r="D942" s="168">
        <f>'Jrnl Exp ~ Dép'!$D445</f>
        <v>0</v>
      </c>
      <c r="E942" s="1519">
        <f>'Jrnl Exp ~ Dép'!$F445</f>
        <v>0</v>
      </c>
      <c r="F942" s="1519"/>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2">
      <c r="B943" s="146">
        <f>IF(AND('Jrnl Exp ~ Dép'!$G446&lt;&gt;"",'Jrnl Exp ~ Dép'!$C446&lt;&gt;""),1,0)</f>
        <v>0</v>
      </c>
      <c r="C943" s="146">
        <f>'Jrnl Exp ~ Dép'!$C446</f>
        <v>0</v>
      </c>
      <c r="D943" s="168">
        <f>'Jrnl Exp ~ Dép'!$D446</f>
        <v>0</v>
      </c>
      <c r="E943" s="1519">
        <f>'Jrnl Exp ~ Dép'!$F446</f>
        <v>0</v>
      </c>
      <c r="F943" s="1519"/>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2">
      <c r="B944" s="146">
        <f>IF(AND('Jrnl Exp ~ Dép'!$G447&lt;&gt;"",'Jrnl Exp ~ Dép'!$C447&lt;&gt;""),1,0)</f>
        <v>0</v>
      </c>
      <c r="C944" s="146">
        <f>'Jrnl Exp ~ Dép'!$C447</f>
        <v>0</v>
      </c>
      <c r="D944" s="168">
        <f>'Jrnl Exp ~ Dép'!$D447</f>
        <v>0</v>
      </c>
      <c r="E944" s="1519">
        <f>'Jrnl Exp ~ Dép'!$F447</f>
        <v>0</v>
      </c>
      <c r="F944" s="1519"/>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2">
      <c r="B945" s="146">
        <f>IF(AND('Jrnl Exp ~ Dép'!$G448&lt;&gt;"",'Jrnl Exp ~ Dép'!$C448&lt;&gt;""),1,0)</f>
        <v>0</v>
      </c>
      <c r="C945" s="146">
        <f>'Jrnl Exp ~ Dép'!$C448</f>
        <v>0</v>
      </c>
      <c r="D945" s="168">
        <f>'Jrnl Exp ~ Dép'!$D448</f>
        <v>0</v>
      </c>
      <c r="E945" s="1519">
        <f>'Jrnl Exp ~ Dép'!$F448</f>
        <v>0</v>
      </c>
      <c r="F945" s="1519"/>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2">
      <c r="B946" s="146">
        <f>IF(AND('Jrnl Exp ~ Dép'!$G449&lt;&gt;"",'Jrnl Exp ~ Dép'!$C449&lt;&gt;""),1,0)</f>
        <v>0</v>
      </c>
      <c r="C946" s="146">
        <f>'Jrnl Exp ~ Dép'!$C449</f>
        <v>0</v>
      </c>
      <c r="D946" s="168">
        <f>'Jrnl Exp ~ Dép'!$D449</f>
        <v>0</v>
      </c>
      <c r="E946" s="1519">
        <f>'Jrnl Exp ~ Dép'!$F449</f>
        <v>0</v>
      </c>
      <c r="F946" s="1519"/>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2">
      <c r="B947" s="146">
        <f>IF(AND('Jrnl Exp ~ Dép'!$G450&lt;&gt;"",'Jrnl Exp ~ Dép'!$C450&lt;&gt;""),1,0)</f>
        <v>0</v>
      </c>
      <c r="C947" s="146">
        <f>'Jrnl Exp ~ Dép'!$C450</f>
        <v>0</v>
      </c>
      <c r="D947" s="168">
        <f>'Jrnl Exp ~ Dép'!$D450</f>
        <v>0</v>
      </c>
      <c r="E947" s="1519">
        <f>'Jrnl Exp ~ Dép'!$F450</f>
        <v>0</v>
      </c>
      <c r="F947" s="1519"/>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2">
      <c r="B948" s="146">
        <f>IF(AND('Jrnl Exp ~ Dép'!$G451&lt;&gt;"",'Jrnl Exp ~ Dép'!$C451&lt;&gt;""),1,0)</f>
        <v>0</v>
      </c>
      <c r="C948" s="146">
        <f>'Jrnl Exp ~ Dép'!$C451</f>
        <v>0</v>
      </c>
      <c r="D948" s="168">
        <f>'Jrnl Exp ~ Dép'!$D451</f>
        <v>0</v>
      </c>
      <c r="E948" s="1519">
        <f>'Jrnl Exp ~ Dép'!$F451</f>
        <v>0</v>
      </c>
      <c r="F948" s="1519"/>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2">
      <c r="B949" s="146">
        <f>IF(AND('Jrnl Exp ~ Dép'!$G452&lt;&gt;"",'Jrnl Exp ~ Dép'!$C452&lt;&gt;""),1,0)</f>
        <v>0</v>
      </c>
      <c r="C949" s="146">
        <f>'Jrnl Exp ~ Dép'!$C452</f>
        <v>0</v>
      </c>
      <c r="D949" s="168">
        <f>'Jrnl Exp ~ Dép'!$D452</f>
        <v>0</v>
      </c>
      <c r="E949" s="1519">
        <f>'Jrnl Exp ~ Dép'!$F452</f>
        <v>0</v>
      </c>
      <c r="F949" s="1519"/>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2">
      <c r="B950" s="146">
        <f>IF(AND('Jrnl Exp ~ Dép'!$G453&lt;&gt;"",'Jrnl Exp ~ Dép'!$C453&lt;&gt;""),1,0)</f>
        <v>0</v>
      </c>
      <c r="C950" s="146">
        <f>'Jrnl Exp ~ Dép'!$C453</f>
        <v>0</v>
      </c>
      <c r="D950" s="168">
        <f>'Jrnl Exp ~ Dép'!$D453</f>
        <v>0</v>
      </c>
      <c r="E950" s="1519">
        <f>'Jrnl Exp ~ Dép'!$F453</f>
        <v>0</v>
      </c>
      <c r="F950" s="1519"/>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2">
      <c r="B951" s="146">
        <f>IF(AND('Jrnl Exp ~ Dép'!$G454&lt;&gt;"",'Jrnl Exp ~ Dép'!$C454&lt;&gt;""),1,0)</f>
        <v>0</v>
      </c>
      <c r="C951" s="146">
        <f>'Jrnl Exp ~ Dép'!$C454</f>
        <v>0</v>
      </c>
      <c r="D951" s="168">
        <f>'Jrnl Exp ~ Dép'!$D454</f>
        <v>0</v>
      </c>
      <c r="E951" s="1519">
        <f>'Jrnl Exp ~ Dép'!$F454</f>
        <v>0</v>
      </c>
      <c r="F951" s="1519"/>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2">
      <c r="B952" s="146">
        <f>IF(AND('Jrnl Exp ~ Dép'!$G455&lt;&gt;"",'Jrnl Exp ~ Dép'!$C455&lt;&gt;""),1,0)</f>
        <v>0</v>
      </c>
      <c r="C952" s="146">
        <f>'Jrnl Exp ~ Dép'!$C455</f>
        <v>0</v>
      </c>
      <c r="D952" s="168">
        <f>'Jrnl Exp ~ Dép'!$D455</f>
        <v>0</v>
      </c>
      <c r="E952" s="1519">
        <f>'Jrnl Exp ~ Dép'!$F455</f>
        <v>0</v>
      </c>
      <c r="F952" s="1519"/>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2">
      <c r="B953" s="146">
        <f>IF(AND('Jrnl Exp ~ Dép'!$G456&lt;&gt;"",'Jrnl Exp ~ Dép'!$C456&lt;&gt;""),1,0)</f>
        <v>0</v>
      </c>
      <c r="C953" s="146">
        <f>'Jrnl Exp ~ Dép'!$C456</f>
        <v>0</v>
      </c>
      <c r="D953" s="168">
        <f>'Jrnl Exp ~ Dép'!$D456</f>
        <v>0</v>
      </c>
      <c r="E953" s="1519">
        <f>'Jrnl Exp ~ Dép'!$F456</f>
        <v>0</v>
      </c>
      <c r="F953" s="1519"/>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2">
      <c r="B954" s="146">
        <f>IF(AND('Jrnl Exp ~ Dép'!$G457&lt;&gt;"",'Jrnl Exp ~ Dép'!$C457&lt;&gt;""),1,0)</f>
        <v>0</v>
      </c>
      <c r="C954" s="146">
        <f>'Jrnl Exp ~ Dép'!$C457</f>
        <v>0</v>
      </c>
      <c r="D954" s="168">
        <f>'Jrnl Exp ~ Dép'!$D457</f>
        <v>0</v>
      </c>
      <c r="E954" s="1519">
        <f>'Jrnl Exp ~ Dép'!$F457</f>
        <v>0</v>
      </c>
      <c r="F954" s="1519"/>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2">
      <c r="B955" s="146">
        <f>IF(AND('Jrnl Exp ~ Dép'!$G458&lt;&gt;"",'Jrnl Exp ~ Dép'!$C458&lt;&gt;""),1,0)</f>
        <v>0</v>
      </c>
      <c r="C955" s="146">
        <f>'Jrnl Exp ~ Dép'!$C458</f>
        <v>0</v>
      </c>
      <c r="D955" s="168">
        <f>'Jrnl Exp ~ Dép'!$D458</f>
        <v>0</v>
      </c>
      <c r="E955" s="1519">
        <f>'Jrnl Exp ~ Dép'!$F458</f>
        <v>0</v>
      </c>
      <c r="F955" s="1519"/>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2">
      <c r="B956" s="146">
        <f>IF(AND('Jrnl Exp ~ Dép'!$G459&lt;&gt;"",'Jrnl Exp ~ Dép'!$C459&lt;&gt;""),1,0)</f>
        <v>0</v>
      </c>
      <c r="C956" s="146">
        <f>'Jrnl Exp ~ Dép'!$C459</f>
        <v>0</v>
      </c>
      <c r="D956" s="168">
        <f>'Jrnl Exp ~ Dép'!$D459</f>
        <v>0</v>
      </c>
      <c r="E956" s="1519">
        <f>'Jrnl Exp ~ Dép'!$F459</f>
        <v>0</v>
      </c>
      <c r="F956" s="1519"/>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2">
      <c r="B957" s="146">
        <f>IF(AND('Jrnl Exp ~ Dép'!$G460&lt;&gt;"",'Jrnl Exp ~ Dép'!$C460&lt;&gt;""),1,0)</f>
        <v>0</v>
      </c>
      <c r="C957" s="146">
        <f>'Jrnl Exp ~ Dép'!$C460</f>
        <v>0</v>
      </c>
      <c r="D957" s="168">
        <f>'Jrnl Exp ~ Dép'!$D460</f>
        <v>0</v>
      </c>
      <c r="E957" s="1519">
        <f>'Jrnl Exp ~ Dép'!$F460</f>
        <v>0</v>
      </c>
      <c r="F957" s="1519"/>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2">
      <c r="B958" s="146">
        <f>IF(AND('Jrnl Exp ~ Dép'!$G461&lt;&gt;"",'Jrnl Exp ~ Dép'!$C461&lt;&gt;""),1,0)</f>
        <v>0</v>
      </c>
      <c r="C958" s="146">
        <f>'Jrnl Exp ~ Dép'!$C461</f>
        <v>0</v>
      </c>
      <c r="D958" s="168">
        <f>'Jrnl Exp ~ Dép'!$D461</f>
        <v>0</v>
      </c>
      <c r="E958" s="1519">
        <f>'Jrnl Exp ~ Dép'!$F461</f>
        <v>0</v>
      </c>
      <c r="F958" s="1519"/>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2">
      <c r="B959" s="146">
        <f>IF(AND('Jrnl Exp ~ Dép'!$G462&lt;&gt;"",'Jrnl Exp ~ Dép'!$C462&lt;&gt;""),1,0)</f>
        <v>0</v>
      </c>
      <c r="C959" s="146">
        <f>'Jrnl Exp ~ Dép'!$C462</f>
        <v>0</v>
      </c>
      <c r="D959" s="168">
        <f>'Jrnl Exp ~ Dép'!$D462</f>
        <v>0</v>
      </c>
      <c r="E959" s="1519">
        <f>'Jrnl Exp ~ Dép'!$F462</f>
        <v>0</v>
      </c>
      <c r="F959" s="1519"/>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2">
      <c r="B960" s="146">
        <f>IF(AND('Jrnl Exp ~ Dép'!$G463&lt;&gt;"",'Jrnl Exp ~ Dép'!$C463&lt;&gt;""),1,0)</f>
        <v>0</v>
      </c>
      <c r="C960" s="146">
        <f>'Jrnl Exp ~ Dép'!$C463</f>
        <v>0</v>
      </c>
      <c r="D960" s="168">
        <f>'Jrnl Exp ~ Dép'!$D463</f>
        <v>0</v>
      </c>
      <c r="E960" s="1519">
        <f>'Jrnl Exp ~ Dép'!$F463</f>
        <v>0</v>
      </c>
      <c r="F960" s="1519"/>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2">
      <c r="B961" s="146">
        <f>IF(AND('Jrnl Exp ~ Dép'!$G464&lt;&gt;"",'Jrnl Exp ~ Dép'!$C464&lt;&gt;""),1,0)</f>
        <v>0</v>
      </c>
      <c r="C961" s="146">
        <f>'Jrnl Exp ~ Dép'!$C464</f>
        <v>0</v>
      </c>
      <c r="D961" s="168">
        <f>'Jrnl Exp ~ Dép'!$D464</f>
        <v>0</v>
      </c>
      <c r="E961" s="1519">
        <f>'Jrnl Exp ~ Dép'!$F464</f>
        <v>0</v>
      </c>
      <c r="F961" s="1519"/>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2">
      <c r="B962" s="146">
        <f>IF(AND('Jrnl Exp ~ Dép'!$G465&lt;&gt;"",'Jrnl Exp ~ Dép'!$C465&lt;&gt;""),1,0)</f>
        <v>0</v>
      </c>
      <c r="C962" s="146">
        <f>'Jrnl Exp ~ Dép'!$C465</f>
        <v>0</v>
      </c>
      <c r="D962" s="168">
        <f>'Jrnl Exp ~ Dép'!$D465</f>
        <v>0</v>
      </c>
      <c r="E962" s="1519">
        <f>'Jrnl Exp ~ Dép'!$F465</f>
        <v>0</v>
      </c>
      <c r="F962" s="1519"/>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2">
      <c r="B963" s="146">
        <f>IF(AND('Jrnl Exp ~ Dép'!$G466&lt;&gt;"",'Jrnl Exp ~ Dép'!$C466&lt;&gt;""),1,0)</f>
        <v>0</v>
      </c>
      <c r="C963" s="146">
        <f>'Jrnl Exp ~ Dép'!$C466</f>
        <v>0</v>
      </c>
      <c r="D963" s="168">
        <f>'Jrnl Exp ~ Dép'!$D466</f>
        <v>0</v>
      </c>
      <c r="E963" s="1519">
        <f>'Jrnl Exp ~ Dép'!$F466</f>
        <v>0</v>
      </c>
      <c r="F963" s="1519"/>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2">
      <c r="B964" s="146">
        <f>IF(AND('Jrnl Exp ~ Dép'!$G467&lt;&gt;"",'Jrnl Exp ~ Dép'!$C467&lt;&gt;""),1,0)</f>
        <v>0</v>
      </c>
      <c r="C964" s="146">
        <f>'Jrnl Exp ~ Dép'!$C467</f>
        <v>0</v>
      </c>
      <c r="D964" s="168">
        <f>'Jrnl Exp ~ Dép'!$D467</f>
        <v>0</v>
      </c>
      <c r="E964" s="1519">
        <f>'Jrnl Exp ~ Dép'!$F467</f>
        <v>0</v>
      </c>
      <c r="F964" s="1519"/>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2">
      <c r="B965" s="146">
        <f>IF(AND('Jrnl Exp ~ Dép'!$G468&lt;&gt;"",'Jrnl Exp ~ Dép'!$C468&lt;&gt;""),1,0)</f>
        <v>0</v>
      </c>
      <c r="C965" s="146">
        <f>'Jrnl Exp ~ Dép'!$C468</f>
        <v>0</v>
      </c>
      <c r="D965" s="168">
        <f>'Jrnl Exp ~ Dép'!$D468</f>
        <v>0</v>
      </c>
      <c r="E965" s="1519">
        <f>'Jrnl Exp ~ Dép'!$F468</f>
        <v>0</v>
      </c>
      <c r="F965" s="1519"/>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2">
      <c r="B966" s="146">
        <f>IF(AND('Jrnl Exp ~ Dép'!$G469&lt;&gt;"",'Jrnl Exp ~ Dép'!$C469&lt;&gt;""),1,0)</f>
        <v>0</v>
      </c>
      <c r="C966" s="146">
        <f>'Jrnl Exp ~ Dép'!$C469</f>
        <v>0</v>
      </c>
      <c r="D966" s="168">
        <f>'Jrnl Exp ~ Dép'!$D469</f>
        <v>0</v>
      </c>
      <c r="E966" s="1519">
        <f>'Jrnl Exp ~ Dép'!$F469</f>
        <v>0</v>
      </c>
      <c r="F966" s="1519"/>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2">
      <c r="B967" s="146">
        <f>IF(AND('Jrnl Exp ~ Dép'!$G470&lt;&gt;"",'Jrnl Exp ~ Dép'!$C470&lt;&gt;""),1,0)</f>
        <v>0</v>
      </c>
      <c r="C967" s="146">
        <f>'Jrnl Exp ~ Dép'!$C470</f>
        <v>0</v>
      </c>
      <c r="D967" s="168">
        <f>'Jrnl Exp ~ Dép'!$D470</f>
        <v>0</v>
      </c>
      <c r="E967" s="1519">
        <f>'Jrnl Exp ~ Dép'!$F470</f>
        <v>0</v>
      </c>
      <c r="F967" s="1519"/>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2">
      <c r="B968" s="146">
        <f>IF(AND('Jrnl Exp ~ Dép'!$G471&lt;&gt;"",'Jrnl Exp ~ Dép'!$C471&lt;&gt;""),1,0)</f>
        <v>0</v>
      </c>
      <c r="C968" s="146">
        <f>'Jrnl Exp ~ Dép'!$C471</f>
        <v>0</v>
      </c>
      <c r="D968" s="168">
        <f>'Jrnl Exp ~ Dép'!$D471</f>
        <v>0</v>
      </c>
      <c r="E968" s="1519">
        <f>'Jrnl Exp ~ Dép'!$F471</f>
        <v>0</v>
      </c>
      <c r="F968" s="1519"/>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2">
      <c r="B969" s="146">
        <f>IF(AND('Jrnl Exp ~ Dép'!$G472&lt;&gt;"",'Jrnl Exp ~ Dép'!$C472&lt;&gt;""),1,0)</f>
        <v>0</v>
      </c>
      <c r="C969" s="146">
        <f>'Jrnl Exp ~ Dép'!$C472</f>
        <v>0</v>
      </c>
      <c r="D969" s="168">
        <f>'Jrnl Exp ~ Dép'!$D472</f>
        <v>0</v>
      </c>
      <c r="E969" s="1519">
        <f>'Jrnl Exp ~ Dép'!$F472</f>
        <v>0</v>
      </c>
      <c r="F969" s="1519"/>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2">
      <c r="B970" s="146">
        <f>IF(AND('Jrnl Exp ~ Dép'!$G473&lt;&gt;"",'Jrnl Exp ~ Dép'!$C473&lt;&gt;""),1,0)</f>
        <v>0</v>
      </c>
      <c r="C970" s="146">
        <f>'Jrnl Exp ~ Dép'!$C473</f>
        <v>0</v>
      </c>
      <c r="D970" s="168">
        <f>'Jrnl Exp ~ Dép'!$D473</f>
        <v>0</v>
      </c>
      <c r="E970" s="1519">
        <f>'Jrnl Exp ~ Dép'!$F473</f>
        <v>0</v>
      </c>
      <c r="F970" s="1519"/>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2">
      <c r="B971" s="146">
        <f>IF(AND('Jrnl Exp ~ Dép'!$G474&lt;&gt;"",'Jrnl Exp ~ Dép'!$C474&lt;&gt;""),1,0)</f>
        <v>0</v>
      </c>
      <c r="C971" s="146">
        <f>'Jrnl Exp ~ Dép'!$C474</f>
        <v>0</v>
      </c>
      <c r="D971" s="168">
        <f>'Jrnl Exp ~ Dép'!$D474</f>
        <v>0</v>
      </c>
      <c r="E971" s="1519">
        <f>'Jrnl Exp ~ Dép'!$F474</f>
        <v>0</v>
      </c>
      <c r="F971" s="1519"/>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2">
      <c r="B972" s="146">
        <f>IF(AND('Jrnl Exp ~ Dép'!$G475&lt;&gt;"",'Jrnl Exp ~ Dép'!$C475&lt;&gt;""),1,0)</f>
        <v>0</v>
      </c>
      <c r="C972" s="146">
        <f>'Jrnl Exp ~ Dép'!$C475</f>
        <v>0</v>
      </c>
      <c r="D972" s="168">
        <f>'Jrnl Exp ~ Dép'!$D475</f>
        <v>0</v>
      </c>
      <c r="E972" s="1519">
        <f>'Jrnl Exp ~ Dép'!$F475</f>
        <v>0</v>
      </c>
      <c r="F972" s="1519"/>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2">
      <c r="B973" s="146">
        <f>IF(AND('Jrnl Exp ~ Dép'!$G476&lt;&gt;"",'Jrnl Exp ~ Dép'!$C476&lt;&gt;""),1,0)</f>
        <v>0</v>
      </c>
      <c r="C973" s="146">
        <f>'Jrnl Exp ~ Dép'!$C476</f>
        <v>0</v>
      </c>
      <c r="D973" s="168">
        <f>'Jrnl Exp ~ Dép'!$D476</f>
        <v>0</v>
      </c>
      <c r="E973" s="1519">
        <f>'Jrnl Exp ~ Dép'!$F476</f>
        <v>0</v>
      </c>
      <c r="F973" s="1519"/>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2">
      <c r="B974" s="146">
        <f>IF(AND('Jrnl Exp ~ Dép'!$G477&lt;&gt;"",'Jrnl Exp ~ Dép'!$C477&lt;&gt;""),1,0)</f>
        <v>0</v>
      </c>
      <c r="C974" s="146">
        <f>'Jrnl Exp ~ Dép'!$C477</f>
        <v>0</v>
      </c>
      <c r="D974" s="168">
        <f>'Jrnl Exp ~ Dép'!$D477</f>
        <v>0</v>
      </c>
      <c r="E974" s="1519">
        <f>'Jrnl Exp ~ Dép'!$F477</f>
        <v>0</v>
      </c>
      <c r="F974" s="1519"/>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2">
      <c r="B975" s="146">
        <f>IF(AND('Jrnl Exp ~ Dép'!$G478&lt;&gt;"",'Jrnl Exp ~ Dép'!$C478&lt;&gt;""),1,0)</f>
        <v>0</v>
      </c>
      <c r="C975" s="146">
        <f>'Jrnl Exp ~ Dép'!$C478</f>
        <v>0</v>
      </c>
      <c r="D975" s="168">
        <f>'Jrnl Exp ~ Dép'!$D478</f>
        <v>0</v>
      </c>
      <c r="E975" s="1519">
        <f>'Jrnl Exp ~ Dép'!$F478</f>
        <v>0</v>
      </c>
      <c r="F975" s="1519"/>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2">
      <c r="B976" s="146">
        <f>IF(AND('Jrnl Exp ~ Dép'!$G479&lt;&gt;"",'Jrnl Exp ~ Dép'!$C479&lt;&gt;""),1,0)</f>
        <v>0</v>
      </c>
      <c r="C976" s="146">
        <f>'Jrnl Exp ~ Dép'!$C479</f>
        <v>0</v>
      </c>
      <c r="D976" s="168">
        <f>'Jrnl Exp ~ Dép'!$D479</f>
        <v>0</v>
      </c>
      <c r="E976" s="1519">
        <f>'Jrnl Exp ~ Dép'!$F479</f>
        <v>0</v>
      </c>
      <c r="F976" s="1519"/>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2">
      <c r="B977" s="146">
        <f>IF(AND('Jrnl Exp ~ Dép'!$G480&lt;&gt;"",'Jrnl Exp ~ Dép'!$C480&lt;&gt;""),1,0)</f>
        <v>0</v>
      </c>
      <c r="C977" s="146">
        <f>'Jrnl Exp ~ Dép'!$C480</f>
        <v>0</v>
      </c>
      <c r="D977" s="168">
        <f>'Jrnl Exp ~ Dép'!$D480</f>
        <v>0</v>
      </c>
      <c r="E977" s="1519">
        <f>'Jrnl Exp ~ Dép'!$F480</f>
        <v>0</v>
      </c>
      <c r="F977" s="1519"/>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2">
      <c r="B978" s="146">
        <f>IF(AND('Jrnl Exp ~ Dép'!$G481&lt;&gt;"",'Jrnl Exp ~ Dép'!$C481&lt;&gt;""),1,0)</f>
        <v>0</v>
      </c>
      <c r="C978" s="146">
        <f>'Jrnl Exp ~ Dép'!$C481</f>
        <v>0</v>
      </c>
      <c r="D978" s="168">
        <f>'Jrnl Exp ~ Dép'!$D481</f>
        <v>0</v>
      </c>
      <c r="E978" s="1519">
        <f>'Jrnl Exp ~ Dép'!$F481</f>
        <v>0</v>
      </c>
      <c r="F978" s="1519"/>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2">
      <c r="B979" s="146">
        <f>IF(AND('Jrnl Exp ~ Dép'!$G482&lt;&gt;"",'Jrnl Exp ~ Dép'!$C482&lt;&gt;""),1,0)</f>
        <v>0</v>
      </c>
      <c r="C979" s="146">
        <f>'Jrnl Exp ~ Dép'!$C482</f>
        <v>0</v>
      </c>
      <c r="D979" s="168">
        <f>'Jrnl Exp ~ Dép'!$D482</f>
        <v>0</v>
      </c>
      <c r="E979" s="1519">
        <f>'Jrnl Exp ~ Dép'!$F482</f>
        <v>0</v>
      </c>
      <c r="F979" s="1519"/>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2">
      <c r="B980" s="146">
        <f>IF(AND('Jrnl Exp ~ Dép'!$G483&lt;&gt;"",'Jrnl Exp ~ Dép'!$C483&lt;&gt;""),1,0)</f>
        <v>0</v>
      </c>
      <c r="C980" s="146">
        <f>'Jrnl Exp ~ Dép'!$C483</f>
        <v>0</v>
      </c>
      <c r="D980" s="168">
        <f>'Jrnl Exp ~ Dép'!$D483</f>
        <v>0</v>
      </c>
      <c r="E980" s="1519">
        <f>'Jrnl Exp ~ Dép'!$F483</f>
        <v>0</v>
      </c>
      <c r="F980" s="1519"/>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2">
      <c r="B981" s="146">
        <f>IF(AND('Jrnl Exp ~ Dép'!$G484&lt;&gt;"",'Jrnl Exp ~ Dép'!$C484&lt;&gt;""),1,0)</f>
        <v>0</v>
      </c>
      <c r="C981" s="146">
        <f>'Jrnl Exp ~ Dép'!$C484</f>
        <v>0</v>
      </c>
      <c r="D981" s="168">
        <f>'Jrnl Exp ~ Dép'!$D484</f>
        <v>0</v>
      </c>
      <c r="E981" s="1519">
        <f>'Jrnl Exp ~ Dép'!$F484</f>
        <v>0</v>
      </c>
      <c r="F981" s="1519"/>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2">
      <c r="B982" s="146">
        <f>IF(AND('Jrnl Exp ~ Dép'!$G485&lt;&gt;"",'Jrnl Exp ~ Dép'!$C485&lt;&gt;""),1,0)</f>
        <v>0</v>
      </c>
      <c r="C982" s="146">
        <f>'Jrnl Exp ~ Dép'!$C485</f>
        <v>0</v>
      </c>
      <c r="D982" s="168">
        <f>'Jrnl Exp ~ Dép'!$D485</f>
        <v>0</v>
      </c>
      <c r="E982" s="1519">
        <f>'Jrnl Exp ~ Dép'!$F485</f>
        <v>0</v>
      </c>
      <c r="F982" s="1519"/>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2">
      <c r="B983" s="146">
        <f>IF(AND('Jrnl Exp ~ Dép'!$G486&lt;&gt;"",'Jrnl Exp ~ Dép'!$C486&lt;&gt;""),1,0)</f>
        <v>0</v>
      </c>
      <c r="C983" s="146">
        <f>'Jrnl Exp ~ Dép'!$C486</f>
        <v>0</v>
      </c>
      <c r="D983" s="168">
        <f>'Jrnl Exp ~ Dép'!$D486</f>
        <v>0</v>
      </c>
      <c r="E983" s="1519">
        <f>'Jrnl Exp ~ Dép'!$F486</f>
        <v>0</v>
      </c>
      <c r="F983" s="1519"/>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2">
      <c r="B984" s="146">
        <f>IF(AND('Jrnl Exp ~ Dép'!$G487&lt;&gt;"",'Jrnl Exp ~ Dép'!$C487&lt;&gt;""),1,0)</f>
        <v>0</v>
      </c>
      <c r="C984" s="146">
        <f>'Jrnl Exp ~ Dép'!$C487</f>
        <v>0</v>
      </c>
      <c r="D984" s="168">
        <f>'Jrnl Exp ~ Dép'!$D487</f>
        <v>0</v>
      </c>
      <c r="E984" s="1519">
        <f>'Jrnl Exp ~ Dép'!$F487</f>
        <v>0</v>
      </c>
      <c r="F984" s="1519"/>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2">
      <c r="B985" s="146">
        <f>IF(AND('Jrnl Exp ~ Dép'!$G488&lt;&gt;"",'Jrnl Exp ~ Dép'!$C488&lt;&gt;""),1,0)</f>
        <v>0</v>
      </c>
      <c r="C985" s="146">
        <f>'Jrnl Exp ~ Dép'!$C488</f>
        <v>0</v>
      </c>
      <c r="D985" s="168">
        <f>'Jrnl Exp ~ Dép'!$D488</f>
        <v>0</v>
      </c>
      <c r="E985" s="1519">
        <f>'Jrnl Exp ~ Dép'!$F488</f>
        <v>0</v>
      </c>
      <c r="F985" s="1519"/>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2">
      <c r="B986" s="146">
        <f>IF(AND('Jrnl Exp ~ Dép'!$G489&lt;&gt;"",'Jrnl Exp ~ Dép'!$C489&lt;&gt;""),1,0)</f>
        <v>0</v>
      </c>
      <c r="C986" s="146">
        <f>'Jrnl Exp ~ Dép'!$C489</f>
        <v>0</v>
      </c>
      <c r="D986" s="168">
        <f>'Jrnl Exp ~ Dép'!$D489</f>
        <v>0</v>
      </c>
      <c r="E986" s="1519">
        <f>'Jrnl Exp ~ Dép'!$F489</f>
        <v>0</v>
      </c>
      <c r="F986" s="1519"/>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2">
      <c r="B987" s="146">
        <f>IF(AND('Jrnl Exp ~ Dép'!$G490&lt;&gt;"",'Jrnl Exp ~ Dép'!$C490&lt;&gt;""),1,0)</f>
        <v>0</v>
      </c>
      <c r="C987" s="146">
        <f>'Jrnl Exp ~ Dép'!$C490</f>
        <v>0</v>
      </c>
      <c r="D987" s="168">
        <f>'Jrnl Exp ~ Dép'!$D490</f>
        <v>0</v>
      </c>
      <c r="E987" s="1519">
        <f>'Jrnl Exp ~ Dép'!$F490</f>
        <v>0</v>
      </c>
      <c r="F987" s="1519"/>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2">
      <c r="B988" s="146">
        <f>IF(AND('Jrnl Exp ~ Dép'!$G491&lt;&gt;"",'Jrnl Exp ~ Dép'!$C491&lt;&gt;""),1,0)</f>
        <v>0</v>
      </c>
      <c r="C988" s="146">
        <f>'Jrnl Exp ~ Dép'!$C491</f>
        <v>0</v>
      </c>
      <c r="D988" s="168">
        <f>'Jrnl Exp ~ Dép'!$D491</f>
        <v>0</v>
      </c>
      <c r="E988" s="1519">
        <f>'Jrnl Exp ~ Dép'!$F491</f>
        <v>0</v>
      </c>
      <c r="F988" s="1519"/>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2">
      <c r="B989" s="146">
        <f>IF(AND('Jrnl Exp ~ Dép'!$G492&lt;&gt;"",'Jrnl Exp ~ Dép'!$C492&lt;&gt;""),1,0)</f>
        <v>0</v>
      </c>
      <c r="C989" s="146">
        <f>'Jrnl Exp ~ Dép'!$C492</f>
        <v>0</v>
      </c>
      <c r="D989" s="168">
        <f>'Jrnl Exp ~ Dép'!$D492</f>
        <v>0</v>
      </c>
      <c r="E989" s="1519">
        <f>'Jrnl Exp ~ Dép'!$F492</f>
        <v>0</v>
      </c>
      <c r="F989" s="1519"/>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2">
      <c r="B990" s="146">
        <f>IF(AND('Jrnl Exp ~ Dép'!$G493&lt;&gt;"",'Jrnl Exp ~ Dép'!$C493&lt;&gt;""),1,0)</f>
        <v>0</v>
      </c>
      <c r="C990" s="146">
        <f>'Jrnl Exp ~ Dép'!$C493</f>
        <v>0</v>
      </c>
      <c r="D990" s="168">
        <f>'Jrnl Exp ~ Dép'!$D493</f>
        <v>0</v>
      </c>
      <c r="E990" s="1519">
        <f>'Jrnl Exp ~ Dép'!$F493</f>
        <v>0</v>
      </c>
      <c r="F990" s="1519"/>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2">
      <c r="B991" s="146">
        <f>IF(AND('Jrnl Exp ~ Dép'!$G494&lt;&gt;"",'Jrnl Exp ~ Dép'!$C494&lt;&gt;""),1,0)</f>
        <v>0</v>
      </c>
      <c r="C991" s="146">
        <f>'Jrnl Exp ~ Dép'!$C494</f>
        <v>0</v>
      </c>
      <c r="D991" s="168">
        <f>'Jrnl Exp ~ Dép'!$D494</f>
        <v>0</v>
      </c>
      <c r="E991" s="1519">
        <f>'Jrnl Exp ~ Dép'!$F494</f>
        <v>0</v>
      </c>
      <c r="F991" s="1519"/>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2">
      <c r="B992" s="146">
        <f>IF(AND('Jrnl Exp ~ Dép'!$G495&lt;&gt;"",'Jrnl Exp ~ Dép'!$C495&lt;&gt;""),1,0)</f>
        <v>0</v>
      </c>
      <c r="C992" s="146">
        <f>'Jrnl Exp ~ Dép'!$C495</f>
        <v>0</v>
      </c>
      <c r="D992" s="168">
        <f>'Jrnl Exp ~ Dép'!$D495</f>
        <v>0</v>
      </c>
      <c r="E992" s="1519">
        <f>'Jrnl Exp ~ Dép'!$F495</f>
        <v>0</v>
      </c>
      <c r="F992" s="1519"/>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2">
      <c r="B993" s="146">
        <f>IF(AND('Jrnl Exp ~ Dép'!$G496&lt;&gt;"",'Jrnl Exp ~ Dép'!$C496&lt;&gt;""),1,0)</f>
        <v>0</v>
      </c>
      <c r="C993" s="146">
        <f>'Jrnl Exp ~ Dép'!$C496</f>
        <v>0</v>
      </c>
      <c r="D993" s="168">
        <f>'Jrnl Exp ~ Dép'!$D496</f>
        <v>0</v>
      </c>
      <c r="E993" s="1519">
        <f>'Jrnl Exp ~ Dép'!$F496</f>
        <v>0</v>
      </c>
      <c r="F993" s="1519"/>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2">
      <c r="B994" s="146">
        <f>IF(AND('Jrnl Exp ~ Dép'!$G497&lt;&gt;"",'Jrnl Exp ~ Dép'!$C497&lt;&gt;""),1,0)</f>
        <v>0</v>
      </c>
      <c r="C994" s="146">
        <f>'Jrnl Exp ~ Dép'!$C497</f>
        <v>0</v>
      </c>
      <c r="D994" s="168">
        <f>'Jrnl Exp ~ Dép'!$D497</f>
        <v>0</v>
      </c>
      <c r="E994" s="1519">
        <f>'Jrnl Exp ~ Dép'!$F497</f>
        <v>0</v>
      </c>
      <c r="F994" s="1519"/>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2">
      <c r="B995" s="146">
        <f>IF(AND('Jrnl Exp ~ Dép'!$G498&lt;&gt;"",'Jrnl Exp ~ Dép'!$C498&lt;&gt;""),1,0)</f>
        <v>0</v>
      </c>
      <c r="C995" s="146">
        <f>'Jrnl Exp ~ Dép'!$C498</f>
        <v>0</v>
      </c>
      <c r="D995" s="168">
        <f>'Jrnl Exp ~ Dép'!$D498</f>
        <v>0</v>
      </c>
      <c r="E995" s="1519">
        <f>'Jrnl Exp ~ Dép'!$F498</f>
        <v>0</v>
      </c>
      <c r="F995" s="1519"/>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2">
      <c r="B996" s="146">
        <f>IF(AND('Jrnl Exp ~ Dép'!$G499&lt;&gt;"",'Jrnl Exp ~ Dép'!$C499&lt;&gt;""),1,0)</f>
        <v>0</v>
      </c>
      <c r="C996" s="146">
        <f>'Jrnl Exp ~ Dép'!$C499</f>
        <v>0</v>
      </c>
      <c r="D996" s="168">
        <f>'Jrnl Exp ~ Dép'!$D499</f>
        <v>0</v>
      </c>
      <c r="E996" s="1519">
        <f>'Jrnl Exp ~ Dép'!$F499</f>
        <v>0</v>
      </c>
      <c r="F996" s="1519"/>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2">
      <c r="B997" s="146">
        <f>IF(AND('Jrnl Exp ~ Dép'!$G500&lt;&gt;"",'Jrnl Exp ~ Dép'!$C500&lt;&gt;""),1,0)</f>
        <v>0</v>
      </c>
      <c r="C997" s="146">
        <f>'Jrnl Exp ~ Dép'!$C500</f>
        <v>0</v>
      </c>
      <c r="D997" s="168">
        <f>'Jrnl Exp ~ Dép'!$D500</f>
        <v>0</v>
      </c>
      <c r="E997" s="1519">
        <f>'Jrnl Exp ~ Dép'!$F500</f>
        <v>0</v>
      </c>
      <c r="F997" s="1519"/>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2">
      <c r="B998" s="146">
        <f>IF(AND('Jrnl Exp ~ Dép'!$G501&lt;&gt;"",'Jrnl Exp ~ Dép'!$C501&lt;&gt;""),1,0)</f>
        <v>0</v>
      </c>
      <c r="C998" s="146">
        <f>'Jrnl Exp ~ Dép'!$C501</f>
        <v>0</v>
      </c>
      <c r="D998" s="168">
        <f>'Jrnl Exp ~ Dép'!$D501</f>
        <v>0</v>
      </c>
      <c r="E998" s="1519">
        <f>'Jrnl Exp ~ Dép'!$F501</f>
        <v>0</v>
      </c>
      <c r="F998" s="1519"/>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2">
      <c r="B999" s="146">
        <f>IF(AND('Jrnl Exp ~ Dép'!$G502&lt;&gt;"",'Jrnl Exp ~ Dép'!$C502&lt;&gt;""),1,0)</f>
        <v>0</v>
      </c>
      <c r="C999" s="146">
        <f>'Jrnl Exp ~ Dép'!$C502</f>
        <v>0</v>
      </c>
      <c r="D999" s="168">
        <f>'Jrnl Exp ~ Dép'!$D502</f>
        <v>0</v>
      </c>
      <c r="E999" s="1519">
        <f>'Jrnl Exp ~ Dép'!$F502</f>
        <v>0</v>
      </c>
      <c r="F999" s="1519"/>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2">
      <c r="B1000" s="146">
        <f>IF(AND('Jrnl Exp ~ Dép'!$G503&lt;&gt;"",'Jrnl Exp ~ Dép'!$C503&lt;&gt;""),1,0)</f>
        <v>0</v>
      </c>
      <c r="C1000" s="146">
        <f>'Jrnl Exp ~ Dép'!$C503</f>
        <v>0</v>
      </c>
      <c r="D1000" s="168">
        <f>'Jrnl Exp ~ Dép'!$D503</f>
        <v>0</v>
      </c>
      <c r="E1000" s="1519">
        <f>'Jrnl Exp ~ Dép'!$F503</f>
        <v>0</v>
      </c>
      <c r="F1000" s="1519"/>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2">
      <c r="B1001" s="146">
        <f>IF(AND('Jrnl Exp ~ Dép'!$G504&lt;&gt;"",'Jrnl Exp ~ Dép'!$C504&lt;&gt;""),1,0)</f>
        <v>0</v>
      </c>
      <c r="C1001" s="146">
        <f>'Jrnl Exp ~ Dép'!$C504</f>
        <v>0</v>
      </c>
      <c r="D1001" s="168">
        <f>'Jrnl Exp ~ Dép'!$D504</f>
        <v>0</v>
      </c>
      <c r="E1001" s="1519">
        <f>'Jrnl Exp ~ Dép'!$F504</f>
        <v>0</v>
      </c>
      <c r="F1001" s="1519"/>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2">
      <c r="B1002" s="146">
        <f>IF(AND('Jrnl Exp ~ Dép'!$G505&lt;&gt;"",'Jrnl Exp ~ Dép'!$C505&lt;&gt;""),1,0)</f>
        <v>0</v>
      </c>
      <c r="C1002" s="146">
        <f>'Jrnl Exp ~ Dép'!$C505</f>
        <v>0</v>
      </c>
      <c r="D1002" s="168">
        <f>'Jrnl Exp ~ Dép'!$D505</f>
        <v>0</v>
      </c>
      <c r="E1002" s="1519">
        <f>'Jrnl Exp ~ Dép'!$F505</f>
        <v>0</v>
      </c>
      <c r="F1002" s="1519"/>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2">
      <c r="B1003" s="146">
        <f>IF(AND('Jrnl Exp ~ Dép'!$G506&lt;&gt;"",'Jrnl Exp ~ Dép'!$C506&lt;&gt;""),1,0)</f>
        <v>0</v>
      </c>
      <c r="C1003" s="146">
        <f>'Jrnl Exp ~ Dép'!$C506</f>
        <v>0</v>
      </c>
      <c r="D1003" s="168">
        <f>'Jrnl Exp ~ Dép'!$D506</f>
        <v>0</v>
      </c>
      <c r="E1003" s="1519">
        <f>'Jrnl Exp ~ Dép'!$F506</f>
        <v>0</v>
      </c>
      <c r="F1003" s="1519"/>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2">
      <c r="B1004" s="146">
        <f>IF(AND('Jrnl Exp ~ Dép'!$G507&lt;&gt;"",'Jrnl Exp ~ Dép'!$C507&lt;&gt;""),1,0)</f>
        <v>0</v>
      </c>
      <c r="C1004" s="146">
        <f>'Jrnl Exp ~ Dép'!$C507</f>
        <v>0</v>
      </c>
      <c r="D1004" s="168">
        <f>'Jrnl Exp ~ Dép'!$D507</f>
        <v>0</v>
      </c>
      <c r="E1004" s="1519">
        <f>'Jrnl Exp ~ Dép'!$F507</f>
        <v>0</v>
      </c>
      <c r="F1004" s="1519"/>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2">
      <c r="B1005" s="146">
        <f>IF(AND('Jrnl Exp ~ Dép'!$G508&lt;&gt;"",'Jrnl Exp ~ Dép'!$C508&lt;&gt;""),1,0)</f>
        <v>0</v>
      </c>
      <c r="C1005" s="146">
        <f>'Jrnl Exp ~ Dép'!$C508</f>
        <v>0</v>
      </c>
      <c r="D1005" s="168">
        <f>'Jrnl Exp ~ Dép'!$D508</f>
        <v>0</v>
      </c>
      <c r="E1005" s="1519">
        <f>'Jrnl Exp ~ Dép'!$F508</f>
        <v>0</v>
      </c>
      <c r="F1005" s="1519"/>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2">
      <c r="B1006" s="146">
        <f>IF(AND('Jrnl Exp ~ Dép'!$G509&lt;&gt;"",'Jrnl Exp ~ Dép'!$C509&lt;&gt;""),1,0)</f>
        <v>0</v>
      </c>
      <c r="C1006" s="146">
        <f>'Jrnl Exp ~ Dép'!$C509</f>
        <v>0</v>
      </c>
      <c r="D1006" s="168">
        <f>'Jrnl Exp ~ Dép'!$D509</f>
        <v>0</v>
      </c>
      <c r="E1006" s="1519">
        <f>'Jrnl Exp ~ Dép'!$F509</f>
        <v>0</v>
      </c>
      <c r="F1006" s="1519"/>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2">
      <c r="B1007" s="146">
        <f>IF(AND('Jrnl Exp ~ Dép'!$G510&lt;&gt;"",'Jrnl Exp ~ Dép'!$C510&lt;&gt;""),1,0)</f>
        <v>0</v>
      </c>
      <c r="C1007" s="146">
        <f>'Jrnl Exp ~ Dép'!$C510</f>
        <v>0</v>
      </c>
      <c r="D1007" s="168">
        <f>'Jrnl Exp ~ Dép'!$D510</f>
        <v>0</v>
      </c>
      <c r="E1007" s="1519">
        <f>'Jrnl Exp ~ Dép'!$F510</f>
        <v>0</v>
      </c>
      <c r="F1007" s="1519"/>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2">
      <c r="B1008" s="146">
        <f>IF(AND('Jrnl Exp ~ Dép'!$G511&lt;&gt;"",'Jrnl Exp ~ Dép'!$C511&lt;&gt;""),1,0)</f>
        <v>0</v>
      </c>
      <c r="C1008" s="146">
        <f>'Jrnl Exp ~ Dép'!$C511</f>
        <v>0</v>
      </c>
      <c r="D1008" s="168">
        <f>'Jrnl Exp ~ Dép'!$D511</f>
        <v>0</v>
      </c>
      <c r="E1008" s="1519">
        <f>'Jrnl Exp ~ Dép'!$F511</f>
        <v>0</v>
      </c>
      <c r="F1008" s="1519"/>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2">
      <c r="B1009" s="146">
        <f>IF(AND('Jrnl Exp ~ Dép'!$G512&lt;&gt;"",'Jrnl Exp ~ Dép'!$C512&lt;&gt;""),1,0)</f>
        <v>0</v>
      </c>
      <c r="C1009" s="146">
        <f>'Jrnl Exp ~ Dép'!$C512</f>
        <v>0</v>
      </c>
      <c r="D1009" s="168">
        <f>'Jrnl Exp ~ Dép'!$D512</f>
        <v>0</v>
      </c>
      <c r="E1009" s="1519">
        <f>'Jrnl Exp ~ Dép'!$F512</f>
        <v>0</v>
      </c>
      <c r="F1009" s="1519"/>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2">
      <c r="B1010" s="146">
        <f>IF(AND('Jrnl Exp ~ Dép'!$G513&lt;&gt;"",'Jrnl Exp ~ Dép'!$C513&lt;&gt;""),1,0)</f>
        <v>0</v>
      </c>
      <c r="C1010" s="146">
        <f>'Jrnl Exp ~ Dép'!$C513</f>
        <v>0</v>
      </c>
      <c r="D1010" s="168">
        <f>'Jrnl Exp ~ Dép'!$D513</f>
        <v>0</v>
      </c>
      <c r="E1010" s="1519">
        <f>'Jrnl Exp ~ Dép'!$F513</f>
        <v>0</v>
      </c>
      <c r="F1010" s="1519"/>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2">
      <c r="B1011" s="146">
        <f>IF(AND('Jrnl Exp ~ Dép'!$G514&lt;&gt;"",'Jrnl Exp ~ Dép'!$C514&lt;&gt;""),1,0)</f>
        <v>0</v>
      </c>
      <c r="C1011" s="146">
        <f>'Jrnl Exp ~ Dép'!$C514</f>
        <v>0</v>
      </c>
      <c r="D1011" s="168">
        <f>'Jrnl Exp ~ Dép'!$D514</f>
        <v>0</v>
      </c>
      <c r="E1011" s="1519">
        <f>'Jrnl Exp ~ Dép'!$F514</f>
        <v>0</v>
      </c>
      <c r="F1011" s="1519"/>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2">
      <c r="B1012" s="146">
        <f>IF(AND('Jrnl Exp ~ Dép'!$G515&lt;&gt;"",'Jrnl Exp ~ Dép'!$C515&lt;&gt;""),1,0)</f>
        <v>0</v>
      </c>
      <c r="C1012" s="146">
        <f>'Jrnl Exp ~ Dép'!$C515</f>
        <v>0</v>
      </c>
      <c r="D1012" s="168">
        <f>'Jrnl Exp ~ Dép'!$D515</f>
        <v>0</v>
      </c>
      <c r="E1012" s="1519">
        <f>'Jrnl Exp ~ Dép'!$F515</f>
        <v>0</v>
      </c>
      <c r="F1012" s="1519"/>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2">
      <c r="B1013" s="15">
        <v>1</v>
      </c>
      <c r="C1013" s="171"/>
      <c r="D1013" s="172"/>
      <c r="E1013" s="173"/>
      <c r="F1013" s="173"/>
      <c r="G1013" s="174"/>
      <c r="H1013" s="175"/>
      <c r="I1013" s="175"/>
      <c r="J1013" s="175"/>
      <c r="K1013" s="176"/>
      <c r="L1013" s="176"/>
      <c r="M1013" s="177"/>
      <c r="N1013" s="178"/>
    </row>
    <row r="1014" spans="2:20" s="1" customFormat="1" ht="30" customHeight="1" x14ac:dyDescent="0.2">
      <c r="B1014" s="15">
        <v>1</v>
      </c>
      <c r="C1014" s="1507" t="str">
        <f>IF($A$3=2,"Solde du compte principal au","Balance of Main Bank Account on")</f>
        <v>Balance of Main Bank Account on</v>
      </c>
      <c r="D1014" s="1507"/>
      <c r="E1014" s="1507"/>
      <c r="F1014" s="1507"/>
      <c r="G1014" s="1507"/>
      <c r="H1014" s="1263">
        <f>Reconciliation!J23</f>
        <v>0</v>
      </c>
      <c r="I1014" s="179"/>
      <c r="J1014" s="180"/>
      <c r="K1014" s="181">
        <f>Reconciliation!N23</f>
        <v>0</v>
      </c>
      <c r="L1014" s="182"/>
      <c r="M1014" s="177"/>
      <c r="N1014" s="178"/>
    </row>
    <row r="1015" spans="2:20" ht="20.25" customHeight="1" thickBot="1" x14ac:dyDescent="0.25">
      <c r="B1015" s="15">
        <v>1</v>
      </c>
      <c r="D1015" s="183" t="str">
        <f>IF($A$3=2,"Légende:","Legend:")</f>
        <v>Legend:</v>
      </c>
      <c r="E1015" s="184"/>
      <c r="F1015" s="184"/>
      <c r="G1015" s="183" t="s">
        <v>133</v>
      </c>
      <c r="H1015" s="184"/>
      <c r="I1015" s="184"/>
      <c r="J1015" s="184"/>
      <c r="K1015" s="184"/>
      <c r="L1015" s="184"/>
      <c r="M1015" s="185"/>
    </row>
    <row r="1016" spans="2:20" ht="146.25" customHeight="1" thickBot="1" x14ac:dyDescent="0.25">
      <c r="B1016" s="15">
        <v>1</v>
      </c>
      <c r="C1016" s="608" t="s">
        <v>134</v>
      </c>
      <c r="D1016" s="1521" t="s">
        <v>473</v>
      </c>
      <c r="E1016" s="1522"/>
      <c r="F1016" s="609"/>
      <c r="G1016" s="1508"/>
      <c r="H1016" s="1509"/>
      <c r="I1016" s="1510"/>
      <c r="J1016" s="1510"/>
      <c r="K1016" s="1508"/>
      <c r="L1016" s="1509"/>
      <c r="M1016" s="185"/>
      <c r="T1016" s="186"/>
    </row>
    <row r="1017" spans="2:20" ht="26.25" customHeight="1" x14ac:dyDescent="0.2">
      <c r="M1017" s="185"/>
      <c r="T1017" s="186"/>
    </row>
    <row r="1018" spans="2:20" ht="26.25" customHeight="1" x14ac:dyDescent="0.2">
      <c r="C1018" s="109" t="str">
        <f>IF(A3=2,"","")</f>
        <v/>
      </c>
      <c r="M1018" s="185"/>
    </row>
    <row r="1019" spans="2:20" ht="26.25" customHeight="1" x14ac:dyDescent="0.2">
      <c r="M1019" s="185"/>
    </row>
    <row r="1020" spans="2:20" ht="26.25" customHeight="1" x14ac:dyDescent="0.2">
      <c r="M1020" s="185"/>
    </row>
    <row r="1021" spans="2:20" ht="26.25" customHeight="1" x14ac:dyDescent="0.2">
      <c r="M1021" s="185"/>
    </row>
    <row r="1022" spans="2:20" ht="26.25" customHeight="1" x14ac:dyDescent="0.2">
      <c r="M1022" s="185"/>
    </row>
    <row r="1023" spans="2:20" ht="26.25" customHeight="1" x14ac:dyDescent="0.2">
      <c r="M1023" s="185"/>
    </row>
    <row r="1024" spans="2:20" ht="26.25" customHeight="1" x14ac:dyDescent="0.2">
      <c r="M1024" s="185"/>
    </row>
    <row r="1025" spans="13:13" ht="26.25" customHeight="1" x14ac:dyDescent="0.2">
      <c r="M1025" s="185"/>
    </row>
    <row r="1026" spans="13:13" ht="26.25" customHeight="1" x14ac:dyDescent="0.2">
      <c r="M1026" s="185"/>
    </row>
    <row r="1027" spans="13:13" ht="26.25" customHeight="1" x14ac:dyDescent="0.2">
      <c r="M1027" s="185"/>
    </row>
    <row r="1028" spans="13:13" ht="26.25" customHeight="1" x14ac:dyDescent="0.2">
      <c r="M1028" s="185"/>
    </row>
    <row r="1029" spans="13:13" ht="26.25" customHeight="1" x14ac:dyDescent="0.2">
      <c r="M1029" s="185"/>
    </row>
    <row r="1030" spans="13:13" ht="26.25" customHeight="1" x14ac:dyDescent="0.2">
      <c r="M1030" s="185"/>
    </row>
    <row r="1031" spans="13:13" ht="26.25" customHeight="1" x14ac:dyDescent="0.2">
      <c r="M1031" s="185"/>
    </row>
    <row r="1032" spans="13:13" ht="26.25" customHeight="1" x14ac:dyDescent="0.2">
      <c r="M1032" s="185"/>
    </row>
    <row r="1033" spans="13:13" ht="26.25" customHeight="1" x14ac:dyDescent="0.2">
      <c r="M1033" s="185"/>
    </row>
    <row r="1034" spans="13:13" ht="26.25" customHeight="1" x14ac:dyDescent="0.2">
      <c r="M1034" s="185"/>
    </row>
    <row r="1035" spans="13:13" ht="26.25" customHeight="1" x14ac:dyDescent="0.2">
      <c r="M1035" s="185"/>
    </row>
    <row r="1036" spans="13:13" ht="26.25" customHeight="1" x14ac:dyDescent="0.2">
      <c r="M1036" s="185"/>
    </row>
    <row r="1037" spans="13:13" ht="26.25" customHeight="1" x14ac:dyDescent="0.2">
      <c r="M1037" s="185"/>
    </row>
    <row r="1038" spans="13:13" ht="26.25" customHeight="1" x14ac:dyDescent="0.2">
      <c r="M1038" s="185"/>
    </row>
    <row r="1039" spans="13:13" ht="26.25" customHeight="1" x14ac:dyDescent="0.2">
      <c r="M1039" s="185"/>
    </row>
    <row r="1040" spans="13:13" ht="26.25" customHeight="1" x14ac:dyDescent="0.2">
      <c r="M1040" s="185"/>
    </row>
    <row r="1041" spans="13:13" ht="26.25" customHeight="1" x14ac:dyDescent="0.2">
      <c r="M1041" s="185"/>
    </row>
    <row r="1042" spans="13:13" ht="26.25" customHeight="1" x14ac:dyDescent="0.2">
      <c r="M1042" s="185"/>
    </row>
    <row r="1043" spans="13:13" ht="26.25" customHeight="1" x14ac:dyDescent="0.2">
      <c r="M1043" s="185"/>
    </row>
    <row r="1044" spans="13:13" ht="26.25" customHeight="1" x14ac:dyDescent="0.2">
      <c r="M1044" s="185"/>
    </row>
    <row r="1045" spans="13:13" ht="26.25" customHeight="1" x14ac:dyDescent="0.2">
      <c r="M1045" s="185"/>
    </row>
    <row r="1046" spans="13:13" ht="26.25" customHeight="1" x14ac:dyDescent="0.2">
      <c r="M1046" s="185"/>
    </row>
    <row r="1047" spans="13:13" ht="26.25" customHeight="1" x14ac:dyDescent="0.2">
      <c r="M1047" s="185"/>
    </row>
    <row r="1048" spans="13:13" ht="26.25" customHeight="1" x14ac:dyDescent="0.2">
      <c r="M1048" s="185"/>
    </row>
    <row r="1049" spans="13:13" ht="26.25" customHeight="1" x14ac:dyDescent="0.2">
      <c r="M1049" s="185"/>
    </row>
    <row r="1050" spans="13:13" ht="26.25" customHeight="1" x14ac:dyDescent="0.2">
      <c r="M1050" s="185"/>
    </row>
    <row r="1051" spans="13:13" ht="26.25" customHeight="1" x14ac:dyDescent="0.2">
      <c r="M1051" s="185"/>
    </row>
    <row r="1052" spans="13:13" ht="26.25" customHeight="1" x14ac:dyDescent="0.2">
      <c r="M1052" s="185"/>
    </row>
    <row r="1053" spans="13:13" ht="26.25" customHeight="1" x14ac:dyDescent="0.2">
      <c r="M1053" s="185"/>
    </row>
    <row r="1054" spans="13:13" ht="26.25" customHeight="1" x14ac:dyDescent="0.2">
      <c r="M1054" s="185"/>
    </row>
    <row r="1055" spans="13:13" ht="26.25" customHeight="1" x14ac:dyDescent="0.2">
      <c r="M1055" s="185"/>
    </row>
    <row r="1056" spans="13:13" ht="26.25" customHeight="1" x14ac:dyDescent="0.2">
      <c r="M1056" s="185"/>
    </row>
    <row r="1057" spans="13:13" ht="26.25" customHeight="1" x14ac:dyDescent="0.2">
      <c r="M1057" s="185"/>
    </row>
    <row r="1058" spans="13:13" ht="26.25" customHeight="1" x14ac:dyDescent="0.2">
      <c r="M1058" s="185"/>
    </row>
    <row r="1059" spans="13:13" ht="26.25" customHeight="1" x14ac:dyDescent="0.2">
      <c r="M1059" s="185"/>
    </row>
    <row r="1060" spans="13:13" ht="26.25" customHeight="1" x14ac:dyDescent="0.2">
      <c r="M1060" s="185"/>
    </row>
    <row r="1061" spans="13:13" ht="26.25" customHeight="1" x14ac:dyDescent="0.2">
      <c r="M1061" s="185"/>
    </row>
    <row r="1062" spans="13:13" ht="26.25" customHeight="1" x14ac:dyDescent="0.2">
      <c r="M1062" s="185"/>
    </row>
    <row r="1063" spans="13:13" ht="26.25" customHeight="1" x14ac:dyDescent="0.2">
      <c r="M1063" s="185"/>
    </row>
    <row r="1064" spans="13:13" ht="26.25" customHeight="1" x14ac:dyDescent="0.2">
      <c r="M1064" s="185"/>
    </row>
    <row r="1065" spans="13:13" ht="26.25" customHeight="1" x14ac:dyDescent="0.2">
      <c r="M1065" s="185"/>
    </row>
    <row r="1066" spans="13:13" ht="26.25" customHeight="1" x14ac:dyDescent="0.2">
      <c r="M1066" s="185"/>
    </row>
    <row r="1067" spans="13:13" ht="26.25" customHeight="1" x14ac:dyDescent="0.2">
      <c r="M1067" s="185"/>
    </row>
    <row r="1068" spans="13:13" ht="26.25" customHeight="1" x14ac:dyDescent="0.2">
      <c r="M1068" s="185"/>
    </row>
    <row r="1069" spans="13:13" ht="26.25" customHeight="1" x14ac:dyDescent="0.2">
      <c r="M1069" s="185"/>
    </row>
    <row r="1070" spans="13:13" ht="26.25" customHeight="1" x14ac:dyDescent="0.2">
      <c r="M1070" s="185"/>
    </row>
    <row r="1071" spans="13:13" ht="26.25" customHeight="1" x14ac:dyDescent="0.2">
      <c r="M1071" s="185"/>
    </row>
    <row r="1072" spans="13:13" ht="26.25" customHeight="1" x14ac:dyDescent="0.2">
      <c r="M1072" s="185"/>
    </row>
    <row r="1073" spans="13:13" ht="26.25" customHeight="1" x14ac:dyDescent="0.2">
      <c r="M1073" s="185"/>
    </row>
    <row r="1074" spans="13:13" ht="26.25" customHeight="1" x14ac:dyDescent="0.2">
      <c r="M1074" s="185"/>
    </row>
    <row r="1075" spans="13:13" ht="26.25" customHeight="1" x14ac:dyDescent="0.2">
      <c r="M1075" s="185"/>
    </row>
    <row r="1076" spans="13:13" ht="26.25" customHeight="1" x14ac:dyDescent="0.2">
      <c r="M1076" s="185"/>
    </row>
    <row r="1077" spans="13:13" ht="26.25" customHeight="1" x14ac:dyDescent="0.2">
      <c r="M1077" s="185"/>
    </row>
    <row r="1078" spans="13:13" ht="26.25" customHeight="1" x14ac:dyDescent="0.2">
      <c r="M1078" s="185"/>
    </row>
    <row r="1079" spans="13:13" ht="26.25" customHeight="1" x14ac:dyDescent="0.2">
      <c r="M1079" s="185"/>
    </row>
    <row r="1080" spans="13:13" ht="26.25" customHeight="1" x14ac:dyDescent="0.2">
      <c r="M1080" s="185"/>
    </row>
    <row r="1081" spans="13:13" ht="26.25" customHeight="1" x14ac:dyDescent="0.2">
      <c r="M1081" s="185"/>
    </row>
    <row r="1082" spans="13:13" ht="26.25" customHeight="1" x14ac:dyDescent="0.2">
      <c r="M1082" s="185"/>
    </row>
    <row r="1083" spans="13:13" ht="26.25" customHeight="1" x14ac:dyDescent="0.2">
      <c r="M1083" s="185"/>
    </row>
    <row r="1084" spans="13:13" ht="26.25" customHeight="1" x14ac:dyDescent="0.2">
      <c r="M1084" s="185"/>
    </row>
    <row r="1085" spans="13:13" ht="26.25" customHeight="1" x14ac:dyDescent="0.2">
      <c r="M1085" s="185"/>
    </row>
    <row r="1086" spans="13:13" ht="26.25" customHeight="1" x14ac:dyDescent="0.2">
      <c r="M1086" s="185"/>
    </row>
    <row r="1087" spans="13:13" ht="26.25" customHeight="1" x14ac:dyDescent="0.2">
      <c r="M1087" s="185"/>
    </row>
    <row r="1088" spans="13:13" ht="26.25" customHeight="1" x14ac:dyDescent="0.2">
      <c r="M1088" s="185"/>
    </row>
    <row r="1089" spans="13:13" ht="26.25" customHeight="1" x14ac:dyDescent="0.2">
      <c r="M1089" s="185"/>
    </row>
    <row r="1090" spans="13:13" ht="26.25" customHeight="1" x14ac:dyDescent="0.2">
      <c r="M1090" s="185"/>
    </row>
    <row r="1091" spans="13:13" ht="26.25" customHeight="1" x14ac:dyDescent="0.2">
      <c r="M1091" s="185"/>
    </row>
    <row r="1092" spans="13:13" ht="26.25" customHeight="1" x14ac:dyDescent="0.2">
      <c r="M1092" s="185"/>
    </row>
    <row r="1093" spans="13:13" ht="26.25" customHeight="1" x14ac:dyDescent="0.2">
      <c r="M1093" s="185"/>
    </row>
    <row r="1094" spans="13:13" ht="26.25" customHeight="1" x14ac:dyDescent="0.2">
      <c r="M1094" s="185"/>
    </row>
    <row r="1095" spans="13:13" ht="26.25" customHeight="1" x14ac:dyDescent="0.2">
      <c r="M1095" s="185"/>
    </row>
    <row r="1096" spans="13:13" ht="26.25" customHeight="1" x14ac:dyDescent="0.2">
      <c r="M1096" s="185"/>
    </row>
    <row r="1097" spans="13:13" ht="26.25" customHeight="1" x14ac:dyDescent="0.2">
      <c r="M1097" s="185"/>
    </row>
    <row r="1098" spans="13:13" ht="26.25" customHeight="1" x14ac:dyDescent="0.2">
      <c r="M1098" s="185"/>
    </row>
    <row r="1099" spans="13:13" ht="26.25" customHeight="1" x14ac:dyDescent="0.2">
      <c r="M1099" s="185"/>
    </row>
    <row r="1100" spans="13:13" ht="26.25" customHeight="1" x14ac:dyDescent="0.2">
      <c r="M1100" s="185"/>
    </row>
    <row r="1101" spans="13:13" ht="26.25" customHeight="1" x14ac:dyDescent="0.2">
      <c r="M1101" s="185"/>
    </row>
    <row r="1102" spans="13:13" ht="26.25" customHeight="1" x14ac:dyDescent="0.2">
      <c r="M1102" s="185"/>
    </row>
    <row r="1103" spans="13:13" ht="26.25" customHeight="1" x14ac:dyDescent="0.2">
      <c r="M1103" s="185"/>
    </row>
    <row r="1104" spans="13:13" ht="26.25" customHeight="1" x14ac:dyDescent="0.2">
      <c r="M1104" s="185"/>
    </row>
    <row r="1105" spans="13:13" ht="26.25" customHeight="1" x14ac:dyDescent="0.2">
      <c r="M1105" s="185"/>
    </row>
    <row r="1106" spans="13:13" ht="26.25" customHeight="1" x14ac:dyDescent="0.2">
      <c r="M1106" s="185"/>
    </row>
    <row r="1107" spans="13:13" ht="26.25" customHeight="1" x14ac:dyDescent="0.2">
      <c r="M1107" s="185"/>
    </row>
    <row r="1108" spans="13:13" ht="26.25" customHeight="1" x14ac:dyDescent="0.2">
      <c r="M1108" s="185"/>
    </row>
    <row r="1109" spans="13:13" ht="26.25" customHeight="1" x14ac:dyDescent="0.2">
      <c r="M1109" s="185"/>
    </row>
    <row r="1110" spans="13:13" ht="26.25" customHeight="1" x14ac:dyDescent="0.2">
      <c r="M1110" s="185"/>
    </row>
    <row r="1111" spans="13:13" ht="26.25" customHeight="1" x14ac:dyDescent="0.2">
      <c r="M1111" s="185"/>
    </row>
    <row r="1112" spans="13:13" ht="26.25" customHeight="1" x14ac:dyDescent="0.2">
      <c r="M1112" s="185"/>
    </row>
    <row r="1113" spans="13:13" ht="26.25" customHeight="1" x14ac:dyDescent="0.2">
      <c r="M1113" s="185"/>
    </row>
    <row r="1114" spans="13:13" ht="26.25" customHeight="1" x14ac:dyDescent="0.2">
      <c r="M1114" s="185"/>
    </row>
    <row r="1115" spans="13:13" ht="26.25" customHeight="1" x14ac:dyDescent="0.2">
      <c r="M1115" s="185"/>
    </row>
    <row r="1116" spans="13:13" ht="26.25" customHeight="1" x14ac:dyDescent="0.2">
      <c r="M1116" s="185"/>
    </row>
    <row r="1117" spans="13:13" ht="26.25" customHeight="1" x14ac:dyDescent="0.2">
      <c r="M1117" s="185"/>
    </row>
    <row r="1118" spans="13:13" ht="26.25" customHeight="1" x14ac:dyDescent="0.2">
      <c r="M1118" s="185"/>
    </row>
    <row r="1119" spans="13:13" ht="26.25" customHeight="1" x14ac:dyDescent="0.2">
      <c r="M1119" s="185"/>
    </row>
    <row r="1120" spans="13:13" ht="26.25" customHeight="1" x14ac:dyDescent="0.2">
      <c r="M1120" s="185"/>
    </row>
    <row r="1121" spans="13:13" ht="26.25" customHeight="1" x14ac:dyDescent="0.2">
      <c r="M1121" s="185"/>
    </row>
    <row r="1122" spans="13:13" ht="26.25" customHeight="1" x14ac:dyDescent="0.2">
      <c r="M1122" s="185"/>
    </row>
    <row r="1123" spans="13:13" ht="26.25" customHeight="1" x14ac:dyDescent="0.2">
      <c r="M1123" s="185"/>
    </row>
    <row r="1124" spans="13:13" ht="26.25" customHeight="1" x14ac:dyDescent="0.2">
      <c r="M1124" s="185"/>
    </row>
    <row r="1125" spans="13:13" ht="26.25" customHeight="1" x14ac:dyDescent="0.2">
      <c r="M1125" s="185"/>
    </row>
    <row r="1126" spans="13:13" ht="26.25" customHeight="1" x14ac:dyDescent="0.2">
      <c r="M1126" s="185"/>
    </row>
    <row r="1127" spans="13:13" ht="26.25" customHeight="1" x14ac:dyDescent="0.2">
      <c r="M1127" s="185"/>
    </row>
    <row r="1128" spans="13:13" ht="26.25" customHeight="1" x14ac:dyDescent="0.2">
      <c r="M1128" s="185"/>
    </row>
    <row r="1129" spans="13:13" ht="26.25" customHeight="1" x14ac:dyDescent="0.2">
      <c r="M1129" s="185"/>
    </row>
    <row r="1130" spans="13:13" ht="26.25" customHeight="1" x14ac:dyDescent="0.2">
      <c r="M1130" s="185"/>
    </row>
    <row r="1131" spans="13:13" ht="26.25" customHeight="1" x14ac:dyDescent="0.2">
      <c r="M1131" s="185"/>
    </row>
    <row r="1132" spans="13:13" ht="26.25" customHeight="1" x14ac:dyDescent="0.2">
      <c r="M1132" s="185"/>
    </row>
    <row r="1133" spans="13:13" ht="26.25" customHeight="1" x14ac:dyDescent="0.2">
      <c r="M1133" s="185"/>
    </row>
    <row r="1134" spans="13:13" ht="26.25" customHeight="1" x14ac:dyDescent="0.2">
      <c r="M1134" s="185"/>
    </row>
    <row r="1135" spans="13:13" ht="26.25" customHeight="1" x14ac:dyDescent="0.2">
      <c r="M1135" s="185"/>
    </row>
    <row r="1136" spans="13:13" ht="26.25" customHeight="1" x14ac:dyDescent="0.2">
      <c r="M1136" s="185"/>
    </row>
    <row r="1137" spans="13:13" ht="26.25" customHeight="1" x14ac:dyDescent="0.2">
      <c r="M1137" s="185"/>
    </row>
    <row r="1138" spans="13:13" ht="26.25" customHeight="1" x14ac:dyDescent="0.2">
      <c r="M1138" s="185"/>
    </row>
    <row r="1139" spans="13:13" ht="26.25" customHeight="1" x14ac:dyDescent="0.2">
      <c r="M1139" s="185"/>
    </row>
    <row r="1140" spans="13:13" ht="26.25" customHeight="1" x14ac:dyDescent="0.2">
      <c r="M1140" s="185"/>
    </row>
    <row r="1141" spans="13:13" ht="26.25" customHeight="1" x14ac:dyDescent="0.2">
      <c r="M1141" s="185"/>
    </row>
    <row r="1142" spans="13:13" ht="26.25" customHeight="1" x14ac:dyDescent="0.2">
      <c r="M1142" s="185"/>
    </row>
    <row r="1143" spans="13:13" ht="26.25" customHeight="1" x14ac:dyDescent="0.2">
      <c r="M1143" s="185"/>
    </row>
    <row r="1144" spans="13:13" ht="26.25" customHeight="1" x14ac:dyDescent="0.2">
      <c r="M1144" s="185"/>
    </row>
    <row r="1145" spans="13:13" ht="26.25" customHeight="1" x14ac:dyDescent="0.2">
      <c r="M1145" s="185"/>
    </row>
    <row r="1146" spans="13:13" ht="26.25" customHeight="1" x14ac:dyDescent="0.2">
      <c r="M1146" s="185"/>
    </row>
    <row r="1147" spans="13:13" ht="26.25" customHeight="1" x14ac:dyDescent="0.2">
      <c r="M1147" s="185"/>
    </row>
    <row r="1148" spans="13:13" ht="26.25" customHeight="1" x14ac:dyDescent="0.2">
      <c r="M1148" s="185"/>
    </row>
    <row r="1149" spans="13:13" ht="26.25" customHeight="1" x14ac:dyDescent="0.2">
      <c r="M1149" s="185"/>
    </row>
    <row r="1150" spans="13:13" ht="26.25" customHeight="1" x14ac:dyDescent="0.2">
      <c r="M1150" s="185"/>
    </row>
    <row r="1151" spans="13:13" ht="26.25" customHeight="1" x14ac:dyDescent="0.2">
      <c r="M1151" s="185"/>
    </row>
    <row r="1152" spans="13:13" ht="26.25" customHeight="1" x14ac:dyDescent="0.2">
      <c r="M1152" s="185"/>
    </row>
    <row r="1153" spans="13:13" ht="26.25" customHeight="1" x14ac:dyDescent="0.2">
      <c r="M1153" s="185"/>
    </row>
    <row r="1154" spans="13:13" ht="26.25" customHeight="1" x14ac:dyDescent="0.2">
      <c r="M1154" s="185"/>
    </row>
    <row r="1155" spans="13:13" ht="26.25" customHeight="1" x14ac:dyDescent="0.2">
      <c r="M1155" s="185"/>
    </row>
    <row r="1156" spans="13:13" ht="26.25" customHeight="1" x14ac:dyDescent="0.2">
      <c r="M1156" s="185"/>
    </row>
    <row r="1157" spans="13:13" ht="26.25" customHeight="1" x14ac:dyDescent="0.2">
      <c r="M1157" s="185"/>
    </row>
    <row r="1158" spans="13:13" ht="26.25" customHeight="1" x14ac:dyDescent="0.2">
      <c r="M1158" s="185"/>
    </row>
    <row r="1159" spans="13:13" ht="26.25" customHeight="1" x14ac:dyDescent="0.2">
      <c r="M1159" s="185"/>
    </row>
    <row r="1160" spans="13:13" ht="26.25" customHeight="1" x14ac:dyDescent="0.2">
      <c r="M1160" s="185"/>
    </row>
    <row r="1161" spans="13:13" ht="26.25" customHeight="1" x14ac:dyDescent="0.2">
      <c r="M1161" s="185"/>
    </row>
    <row r="1162" spans="13:13" ht="26.25" customHeight="1" x14ac:dyDescent="0.2">
      <c r="M1162" s="185"/>
    </row>
    <row r="1163" spans="13:13" ht="26.25" customHeight="1" x14ac:dyDescent="0.2">
      <c r="M1163" s="185"/>
    </row>
    <row r="1164" spans="13:13" ht="26.25" customHeight="1" x14ac:dyDescent="0.2">
      <c r="M1164" s="185"/>
    </row>
    <row r="1165" spans="13:13" ht="26.25" customHeight="1" x14ac:dyDescent="0.2">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filterColumn colId="0">
      <customFilters>
        <customFilter operator="notEqual" val=" "/>
      </customFilters>
    </filterColumn>
  </autoFilter>
  <mergeCells count="1010">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formula1>0</formula1>
      <formula2>0</formula2>
    </dataValidation>
    <dataValidation type="date" operator="greaterThan" allowBlank="1" showInputMessage="1" showErrorMessage="1" sqref="E3 G3:H3">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pageSetUpPr fitToPage="1"/>
  </sheetPr>
  <dimension ref="B1:BM604"/>
  <sheetViews>
    <sheetView showGridLines="0" showZeros="0" zoomScale="85" zoomScaleNormal="85" workbookViewId="0">
      <pane ySplit="5" topLeftCell="A6" activePane="bottomLeft" state="frozen"/>
      <selection pane="bottomLeft" activeCell="N10" sqref="N10"/>
    </sheetView>
  </sheetViews>
  <sheetFormatPr defaultColWidth="11.42578125" defaultRowHeight="12.75" x14ac:dyDescent="0.2"/>
  <cols>
    <col min="1" max="1" width="3.28515625" customWidth="1"/>
    <col min="2" max="2" width="3" customWidth="1"/>
    <col min="3" max="3" width="25.85546875" customWidth="1"/>
    <col min="4" max="4" width="19" customWidth="1"/>
    <col min="5" max="5" width="12.5703125" customWidth="1"/>
    <col min="6" max="6" width="15.7109375" customWidth="1"/>
    <col min="7" max="7" width="17.7109375" customWidth="1"/>
    <col min="8" max="8" width="3" customWidth="1"/>
    <col min="9" max="9" width="25.5703125" customWidth="1"/>
    <col min="10" max="10" width="15" customWidth="1"/>
    <col min="11" max="11" width="15.42578125" customWidth="1"/>
    <col min="12" max="12" width="6.7109375" hidden="1" customWidth="1"/>
    <col min="13" max="13" width="15.7109375" customWidth="1"/>
    <col min="14" max="14" width="21.42578125" customWidth="1"/>
    <col min="15" max="15" width="3" customWidth="1"/>
    <col min="16" max="16" width="1.5703125" style="187" customWidth="1"/>
    <col min="17" max="17" width="19.7109375" style="187" customWidth="1"/>
    <col min="18" max="18" width="24.28515625" style="187" customWidth="1"/>
    <col min="19" max="19" width="15.7109375" style="187" customWidth="1"/>
    <col min="20" max="20" width="19.85546875" style="187" customWidth="1"/>
    <col min="21" max="21" width="15.85546875" style="187" customWidth="1"/>
    <col min="22" max="22" width="15.7109375" style="1105" customWidth="1"/>
    <col min="23" max="40" width="15.7109375" style="187" customWidth="1"/>
    <col min="41" max="62" width="15.85546875" style="187" customWidth="1"/>
    <col min="63" max="65" width="15.85546875" customWidth="1"/>
    <col min="66" max="66" width="9.140625" customWidth="1"/>
    <col min="67" max="67" width="8.28515625" customWidth="1"/>
    <col min="68" max="257" width="9.140625" customWidth="1"/>
  </cols>
  <sheetData>
    <row r="1" spans="2:62" ht="33.75" customHeight="1" x14ac:dyDescent="0.4">
      <c r="C1" s="1511" t="str">
        <f>IF(Q2=2,"Réconciliation des comptes","Accounts Reconciliation")</f>
        <v>Accounts Reconciliation</v>
      </c>
      <c r="D1" s="1511"/>
      <c r="E1" s="1511"/>
      <c r="F1" s="1511"/>
      <c r="G1" s="1511"/>
      <c r="H1" s="1511"/>
      <c r="I1" s="1511"/>
      <c r="J1" s="1511"/>
      <c r="K1" s="1511"/>
      <c r="L1" s="1511"/>
      <c r="M1" s="1511"/>
      <c r="N1" s="1511"/>
      <c r="O1" s="600"/>
    </row>
    <row r="2" spans="2:62" ht="33.75" customHeight="1" x14ac:dyDescent="0.2">
      <c r="C2" s="1541" t="str">
        <f>'Set up ~ Config'!B3</f>
        <v>Fiscal Year 2024 - 2025</v>
      </c>
      <c r="D2" s="1541"/>
      <c r="E2" s="1541"/>
      <c r="F2" s="1541"/>
      <c r="G2" s="1541"/>
      <c r="H2" s="1541"/>
      <c r="I2" s="1541"/>
      <c r="J2" s="1541"/>
      <c r="K2" s="1541"/>
      <c r="L2" s="1541"/>
      <c r="M2" s="1541"/>
      <c r="N2" s="1541"/>
      <c r="O2" s="601"/>
      <c r="P2" s="1107"/>
      <c r="Q2" s="1108">
        <f>'Set up ~ Config'!L10</f>
        <v>1</v>
      </c>
      <c r="R2" s="1107"/>
      <c r="S2" s="1107"/>
    </row>
    <row r="3" spans="2:62" s="1" customFormat="1" ht="21.75" customHeight="1" x14ac:dyDescent="0.2">
      <c r="B3" s="1109"/>
      <c r="C3" s="1544" t="str">
        <f>'Set up ~ Config'!B2</f>
        <v xml:space="preserve">SSC </v>
      </c>
      <c r="D3" s="1544"/>
      <c r="E3" s="1544"/>
      <c r="F3" s="1544"/>
      <c r="G3" s="1544"/>
      <c r="H3" s="1544"/>
      <c r="I3" s="1544"/>
      <c r="J3" s="1544"/>
      <c r="K3" s="1544"/>
      <c r="L3" s="1544"/>
      <c r="M3" s="1544"/>
      <c r="N3" s="1544"/>
      <c r="O3" s="1109"/>
      <c r="Q3" s="1110"/>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2">
      <c r="C4" s="1523"/>
      <c r="D4" s="1523"/>
      <c r="E4" s="1523"/>
      <c r="F4" s="1523"/>
      <c r="G4" s="1523"/>
      <c r="H4" s="1523"/>
      <c r="I4" s="1523"/>
      <c r="J4" s="1523"/>
      <c r="K4" s="1523"/>
      <c r="L4" s="1523"/>
      <c r="M4" s="1523"/>
      <c r="N4" s="1523"/>
      <c r="O4" s="1111"/>
      <c r="P4" s="1106"/>
      <c r="R4" s="12"/>
      <c r="S4" s="12"/>
      <c r="T4" s="1112"/>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2">
      <c r="C5" s="1523">
        <f>J23</f>
        <v>0</v>
      </c>
      <c r="D5" s="1523"/>
      <c r="E5" s="1523"/>
      <c r="F5" s="1523"/>
      <c r="G5" s="1523"/>
      <c r="H5" s="1523"/>
      <c r="I5" s="1523"/>
      <c r="J5" s="1523"/>
      <c r="K5" s="1523"/>
      <c r="L5" s="1523"/>
      <c r="M5" s="1523"/>
      <c r="N5" s="1523"/>
      <c r="O5" s="1111"/>
      <c r="P5" s="1106"/>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2">
      <c r="C6" s="1525"/>
      <c r="D6" s="1525"/>
      <c r="E6" s="1525"/>
      <c r="F6" s="1525"/>
      <c r="G6" s="1525"/>
      <c r="H6" s="1525"/>
      <c r="I6" s="1525"/>
      <c r="J6" s="1525"/>
      <c r="K6" s="1525"/>
      <c r="L6" s="1525"/>
      <c r="M6" s="1525"/>
      <c r="N6" s="1525"/>
      <c r="O6" s="1111"/>
      <c r="P6" s="1106"/>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2">
      <c r="D7" s="1526" t="str">
        <f>IF($Q$2=2,"Réconciliation détaillée du compte "&amp;F9&amp;" - "&amp;C9,"Detailed Reconciliation of the Account "&amp;F9&amp;" - "&amp;C9)</f>
        <v>Detailed Reconciliation of the Account 1010 - Other Cash in hand</v>
      </c>
      <c r="E7" s="1526"/>
      <c r="F7" s="1526"/>
      <c r="G7" s="1526"/>
      <c r="H7" s="1526"/>
      <c r="I7" s="1526"/>
      <c r="J7" s="1526"/>
      <c r="K7" s="1526"/>
      <c r="L7" s="1526"/>
      <c r="M7" s="1526"/>
      <c r="N7" s="1113"/>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2">
      <c r="C8" s="1527" t="str">
        <f>IF($Q$2=2,"Réconciliation selon les livres comptables","Reconciliation as per BookKeeping")</f>
        <v>Reconciliation as per BookKeeping</v>
      </c>
      <c r="D8" s="1527"/>
      <c r="E8" s="1527"/>
      <c r="F8" s="1527"/>
      <c r="G8" s="1527"/>
      <c r="I8" s="1527" t="str">
        <f>IF($Q$2=2,"Réconciliation selon le décompte","Reconciliation as per counting")</f>
        <v>Reconciliation as per counting</v>
      </c>
      <c r="J8" s="1527"/>
      <c r="K8" s="1527"/>
      <c r="L8" s="1527"/>
      <c r="M8" s="1527"/>
      <c r="N8" s="1114"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25">
      <c r="C9" s="1543" t="str">
        <f>'Set up ~ Config'!G45</f>
        <v>Other Cash in hand</v>
      </c>
      <c r="D9" s="1543"/>
      <c r="E9" s="1543"/>
      <c r="F9" s="1115" t="str">
        <f>LEFT('Set up ~ Config'!F45,4)</f>
        <v>1010</v>
      </c>
      <c r="G9" s="82"/>
      <c r="I9" s="1529"/>
      <c r="J9" s="1529"/>
      <c r="K9" s="1529"/>
      <c r="L9" s="1529"/>
      <c r="M9" s="1529"/>
      <c r="N9" s="1529"/>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25">
      <c r="C10" s="1530" t="str">
        <f>IF($Q$2=2,"Solde du compte au ","Account Balance on ")</f>
        <v xml:space="preserve">Account Balance on </v>
      </c>
      <c r="D10" s="1530"/>
      <c r="E10" s="1530"/>
      <c r="F10" s="1116">
        <f>DATEVALUE('Set up ~ Config'!$L$5)</f>
        <v>45535</v>
      </c>
      <c r="G10" s="1117">
        <f>'Set up ~ Config'!D45</f>
        <v>0</v>
      </c>
      <c r="I10" s="1118" t="str">
        <f>IF($Q$2=2,"Date (aaaa-mm-jj):","Date (yyyy-mm-dd):")</f>
        <v>Date (yyyy-mm-dd):</v>
      </c>
      <c r="J10" s="957"/>
      <c r="K10" s="1531" t="str">
        <f>IF($Q$2=2,"Solde en main :","Balance in hand :")</f>
        <v>Balance in hand :</v>
      </c>
      <c r="L10" s="1532"/>
      <c r="M10" s="1533"/>
      <c r="N10" s="941"/>
      <c r="P10" s="12"/>
      <c r="Q10" s="1542"/>
      <c r="R10" s="1542"/>
      <c r="S10" s="1542"/>
      <c r="T10" s="602"/>
      <c r="U10" s="1119"/>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2">
      <c r="C11" s="1536" t="str">
        <f>IF($Q$2=2,"Plus: Accroissements (Jrnl des revenus)","Plus: Increases (Revenue Jrnl)")</f>
        <v>Plus: Increases (Revenue Jrnl)</v>
      </c>
      <c r="D11" s="1536"/>
      <c r="E11" s="1536"/>
      <c r="F11" s="1536"/>
      <c r="G11" s="1117">
        <f>'Jrnl Rev'!G523</f>
        <v>0</v>
      </c>
      <c r="H11" s="1120"/>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2">
      <c r="C12" s="1536" t="str">
        <f>IF($Q$2=2," Moins: Décroissements (Jrnl des dépenses)","Less: Decreases (Expense Jrnl)")</f>
        <v>Less: Decreases (Expense Jrnl)</v>
      </c>
      <c r="D12" s="1536"/>
      <c r="E12" s="1536"/>
      <c r="F12" s="1536"/>
      <c r="G12" s="1117">
        <f>'Jrnl Exp ~ Dép'!G523</f>
        <v>0</v>
      </c>
      <c r="I12" s="188"/>
      <c r="J12" s="188"/>
      <c r="K12" s="188"/>
      <c r="L12" s="188"/>
      <c r="M12" s="188"/>
      <c r="N12" s="1121"/>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2">
      <c r="C13" s="1538"/>
      <c r="D13" s="1538"/>
      <c r="E13" s="1538"/>
      <c r="F13" s="1538"/>
      <c r="H13" s="1120"/>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2">
      <c r="C14" s="1537" t="str">
        <f>IF($Q$2=2,F9&amp;" Fonds disponible du compte",F9&amp;" Account Available Funds")</f>
        <v>1010 Account Available Funds</v>
      </c>
      <c r="D14" s="1537"/>
      <c r="E14" s="1537"/>
      <c r="F14" s="1537"/>
      <c r="G14" s="1122"/>
      <c r="I14" s="18"/>
      <c r="J14" s="12"/>
      <c r="K14" s="12"/>
      <c r="L14" s="12"/>
      <c r="M14" s="12"/>
      <c r="N14" s="1123"/>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2">
      <c r="C15" s="1539" t="str">
        <f>IF($Q$2=2,"Solde reporté à la ligne "&amp;F9&amp;" du Bilan - page 7","This balance fwrd'd to line "&amp;F9&amp;" of Balance Sheet -  page 7")</f>
        <v>This balance fwrd'd to line 1010 of Balance Sheet -  page 7</v>
      </c>
      <c r="D15" s="1539"/>
      <c r="E15" s="1539"/>
      <c r="F15" s="1539"/>
      <c r="G15" s="1124">
        <f>IF(AND(SUM(G10+G11-G12)&lt;0.001,SUM(G10+G11-G12)&gt;-0.001),0,SUM(G10+G11-G12))</f>
        <v>0</v>
      </c>
      <c r="H15" s="605"/>
      <c r="J15" s="82"/>
      <c r="K15" s="82"/>
      <c r="L15" s="82"/>
      <c r="M15" s="1125"/>
      <c r="N15" s="1124">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25">
      <c r="F16" s="189"/>
      <c r="J16" s="1120"/>
      <c r="M16" s="1126"/>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25">
      <c r="C17" s="1524"/>
      <c r="D17" s="1524"/>
      <c r="E17" s="1524"/>
      <c r="F17" s="1524"/>
      <c r="G17" s="1127">
        <f>IF(AND(G15-N15&lt;0.001,G15-N15&gt;-0.001),0,G15-N15)</f>
        <v>0</v>
      </c>
      <c r="H17" s="1535">
        <f>IF($Q$2=2,IF(G17=0,$T$8,$T$5),IF(G17=0,$T$9,$T$7))</f>
        <v>0</v>
      </c>
      <c r="I17" s="1535"/>
      <c r="J17" s="1535"/>
      <c r="K17" s="1535"/>
      <c r="L17" s="1535"/>
      <c r="M17" s="1535"/>
      <c r="N17" s="1535"/>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2">
      <c r="C18" s="1540"/>
      <c r="D18" s="1540"/>
      <c r="E18" s="1540"/>
      <c r="F18" s="1540"/>
      <c r="G18" s="1540"/>
      <c r="H18" s="1540"/>
      <c r="I18" s="1540"/>
      <c r="J18" s="1540"/>
      <c r="K18" s="1540"/>
      <c r="L18" s="1540"/>
      <c r="M18" s="1540"/>
      <c r="N18" s="1540"/>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2">
      <c r="C19" s="1525"/>
      <c r="D19" s="1525"/>
      <c r="E19" s="1525"/>
      <c r="F19" s="1525"/>
      <c r="G19" s="1525"/>
      <c r="H19" s="1525"/>
      <c r="I19" s="1525"/>
      <c r="J19" s="1525"/>
      <c r="K19" s="1525"/>
      <c r="L19" s="1525"/>
      <c r="M19" s="1525"/>
      <c r="N19" s="1525"/>
      <c r="O19" s="1111"/>
      <c r="P19" s="1106"/>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2">
      <c r="D20" s="1526" t="str">
        <f>IF($Q$2=2,"Réconciliation détaillée du compte "&amp;F22&amp;" - "&amp;C22,"Detailed Reconciliation of the Account "&amp;F22&amp;" - "&amp;C22)</f>
        <v>Detailed Reconciliation of the Account 1015 - Main Bank Account</v>
      </c>
      <c r="E20" s="1526"/>
      <c r="F20" s="1526"/>
      <c r="G20" s="1526"/>
      <c r="H20" s="1526"/>
      <c r="I20" s="1526"/>
      <c r="J20" s="1526"/>
      <c r="K20" s="1526"/>
      <c r="L20" s="1526"/>
      <c r="M20" s="1526"/>
      <c r="N20" s="1113"/>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2">
      <c r="C21" s="1527" t="str">
        <f>IF($Q$2=2,"Réconciliation selon les livres comptables","Reconciliation as per BookKeeping")</f>
        <v>Reconciliation as per BookKeeping</v>
      </c>
      <c r="D21" s="1527"/>
      <c r="E21" s="1527"/>
      <c r="F21" s="1527"/>
      <c r="G21" s="1527"/>
      <c r="I21" s="1527" t="str">
        <f>IF($Q$2=2,"Réconciliation selon l'état de compte","Reconciliation as per Account Statement")</f>
        <v>Reconciliation as per Account Statement</v>
      </c>
      <c r="J21" s="1527"/>
      <c r="K21" s="1527"/>
      <c r="L21" s="1527"/>
      <c r="M21" s="1527"/>
      <c r="N21" s="1114"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2">
      <c r="C22" s="1528" t="str">
        <f>'Set up ~ Config'!G46</f>
        <v>Main Bank Account</v>
      </c>
      <c r="D22" s="1528"/>
      <c r="E22" s="1528"/>
      <c r="F22" s="1115" t="str">
        <f>LEFT('Set up ~ Config'!F46,4)</f>
        <v>1015</v>
      </c>
      <c r="G22" s="82"/>
      <c r="I22" s="1529"/>
      <c r="J22" s="1529"/>
      <c r="K22" s="1529"/>
      <c r="L22" s="1529"/>
      <c r="M22" s="1529"/>
      <c r="N22" s="1529"/>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25">
      <c r="C23" s="1530" t="str">
        <f>IF($Q$2=2,"Solde du compte au ","Account Balance on ")</f>
        <v xml:space="preserve">Account Balance on </v>
      </c>
      <c r="D23" s="1530"/>
      <c r="E23" s="1530"/>
      <c r="F23" s="1116">
        <f>DATEVALUE('Set up ~ Config'!$L$5)</f>
        <v>45535</v>
      </c>
      <c r="G23" s="1117">
        <f>'Set up ~ Config'!D46</f>
        <v>0</v>
      </c>
      <c r="I23" s="1118" t="str">
        <f>IF($Q$2=2,"Date (aaaa-mm-jj):","Date (yyyy-mm-dd):")</f>
        <v>Date (yyyy-mm-dd):</v>
      </c>
      <c r="J23" s="957"/>
      <c r="K23" s="1533" t="str">
        <f>IF($Q$2=2,"Solde au compte :","Statement Balance :")</f>
        <v>Statement Balance :</v>
      </c>
      <c r="L23" s="1533"/>
      <c r="M23" s="1533"/>
      <c r="N23" s="942"/>
      <c r="P23" s="12"/>
      <c r="Q23" s="1542"/>
      <c r="R23" s="1542"/>
      <c r="S23" s="1542"/>
      <c r="T23" s="12"/>
      <c r="U23" s="1119"/>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25">
      <c r="C24" s="1536" t="str">
        <f>IF($Q$2=2,"Plus: Dépôts (Jrnl des revenus)","Plus: Deposits (Revenue Jrnl)")</f>
        <v>Plus: Deposits (Revenue Jrnl)</v>
      </c>
      <c r="D24" s="1536"/>
      <c r="E24" s="1536"/>
      <c r="F24" s="1536"/>
      <c r="G24" s="1117">
        <f>'Jrnl Rev'!G524</f>
        <v>0</v>
      </c>
      <c r="H24" s="1120"/>
      <c r="I24" s="1557"/>
      <c r="J24" s="1558"/>
      <c r="K24" s="1558"/>
      <c r="L24" s="1558"/>
      <c r="M24" s="1558"/>
      <c r="N24" s="1559"/>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25">
      <c r="C25" s="1536" t="str">
        <f>IF($Q$2=2," Moins: Chèques (Jrnl des dépenses)","Less: Cheques (Expense Jrnl)")</f>
        <v>Less: Cheques (Expense Jrnl)</v>
      </c>
      <c r="D25" s="1536"/>
      <c r="E25" s="1536"/>
      <c r="F25" s="1536"/>
      <c r="G25" s="1117">
        <f>'Jrnl Exp ~ Dép'!G524</f>
        <v>0</v>
      </c>
      <c r="I25" s="1560" t="str">
        <f>IF($Q$2=2,"Moins: chèques émis mais non encore encaissés","Less: Cheques Issued but not processed by bank")</f>
        <v>Less: Cheques Issued but not processed by bank</v>
      </c>
      <c r="J25" s="1561"/>
      <c r="K25" s="1561"/>
      <c r="L25" s="1561"/>
      <c r="M25" s="1562"/>
      <c r="N25" s="1128">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25">
      <c r="C26" s="1563"/>
      <c r="D26" s="1563"/>
      <c r="E26" s="1563"/>
      <c r="F26" s="1563"/>
      <c r="H26" s="1120"/>
      <c r="I26" s="1567"/>
      <c r="J26" s="1567"/>
      <c r="K26" s="1567"/>
      <c r="L26" s="1567"/>
      <c r="M26" s="1567"/>
      <c r="N26" s="1567"/>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25">
      <c r="C27" s="1568" t="str">
        <f>IF($Q$2=2,"Les chèques de l'année précédente (non traités dans l'année précédente)","Previous Year's Cheques (not processed in prev year)")</f>
        <v>Previous Year's Cheques (not processed in prev year)</v>
      </c>
      <c r="D27" s="1569"/>
      <c r="E27" s="1569"/>
      <c r="F27" s="1569"/>
      <c r="G27" s="1570"/>
      <c r="I27" s="1548" t="str">
        <f>IF($Q$2=2,"Solde disponible actuel du compte (reconcilié)","Actual Account balance available (reconciled)")</f>
        <v>Actual Account balance available (reconciled)</v>
      </c>
      <c r="J27" s="1548"/>
      <c r="K27" s="1548"/>
      <c r="L27" s="1548"/>
      <c r="M27" s="1548"/>
      <c r="N27" s="1124">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2">
      <c r="C28" s="1129" t="str">
        <f>IF($Q$2=2,"Chèque #","Cheque #")</f>
        <v>Cheque #</v>
      </c>
      <c r="D28" s="1564" t="str">
        <f>IF($Q$2=2,"À l'ordre de","Payable to")</f>
        <v>Payable to</v>
      </c>
      <c r="E28" s="1565"/>
      <c r="F28" s="1566"/>
      <c r="G28" s="1130" t="str">
        <f>IF($Q$2=2,"Montant","Amount")</f>
        <v>Amount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2">
      <c r="C29" s="1131">
        <f>'Set up ~ Config'!C109</f>
        <v>0</v>
      </c>
      <c r="D29" s="1545">
        <f>'Set up ~ Config'!D109</f>
        <v>0</v>
      </c>
      <c r="E29" s="1546"/>
      <c r="F29" s="1547"/>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2">
      <c r="C30" s="1131">
        <f>'Set up ~ Config'!C110</f>
        <v>0</v>
      </c>
      <c r="D30" s="1545">
        <f>'Set up ~ Config'!D110</f>
        <v>0</v>
      </c>
      <c r="E30" s="1546"/>
      <c r="F30" s="1547"/>
      <c r="G30" s="190">
        <f>'Set up ~ Config'!G110</f>
        <v>0</v>
      </c>
      <c r="I30" s="4"/>
      <c r="J30" s="4"/>
      <c r="K30" s="4"/>
      <c r="L30" s="4"/>
      <c r="M30" s="4"/>
      <c r="N30" s="1132"/>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2">
      <c r="C31" s="1131">
        <f>'Set up ~ Config'!C111</f>
        <v>0</v>
      </c>
      <c r="D31" s="1545">
        <f>'Set up ~ Config'!D111</f>
        <v>0</v>
      </c>
      <c r="E31" s="1546"/>
      <c r="F31" s="1547"/>
      <c r="G31" s="190">
        <f>'Set up ~ Config'!G111</f>
        <v>0</v>
      </c>
      <c r="I31" s="4"/>
      <c r="J31" s="4"/>
      <c r="K31" s="4"/>
      <c r="L31" s="4"/>
      <c r="M31" s="4"/>
      <c r="N31" s="1132"/>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2">
      <c r="C32" s="1131">
        <f>'Set up ~ Config'!C112</f>
        <v>0</v>
      </c>
      <c r="D32" s="1545">
        <f>'Set up ~ Config'!D112</f>
        <v>0</v>
      </c>
      <c r="E32" s="1546"/>
      <c r="F32" s="1547"/>
      <c r="G32" s="190">
        <f>'Set up ~ Config'!G112</f>
        <v>0</v>
      </c>
      <c r="I32" s="4"/>
      <c r="J32" s="4"/>
      <c r="K32" s="4"/>
      <c r="L32" s="4"/>
      <c r="M32" s="4"/>
      <c r="N32" s="1132"/>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2">
      <c r="C33" s="1131">
        <f>'Set up ~ Config'!C113</f>
        <v>0</v>
      </c>
      <c r="D33" s="1545">
        <f>'Set up ~ Config'!D113</f>
        <v>0</v>
      </c>
      <c r="E33" s="1546"/>
      <c r="F33" s="1547"/>
      <c r="G33" s="190">
        <f>'Set up ~ Config'!G113</f>
        <v>0</v>
      </c>
      <c r="I33" s="4"/>
      <c r="J33" s="4"/>
      <c r="K33" s="4"/>
      <c r="L33" s="4"/>
      <c r="M33" s="4"/>
      <c r="N33" s="1132"/>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2">
      <c r="C34" s="1131">
        <f>'Set up ~ Config'!C114</f>
        <v>0</v>
      </c>
      <c r="D34" s="1545">
        <f>'Set up ~ Config'!D114</f>
        <v>0</v>
      </c>
      <c r="E34" s="1546"/>
      <c r="F34" s="1547"/>
      <c r="G34" s="190">
        <f>'Set up ~ Config'!G114</f>
        <v>0</v>
      </c>
      <c r="I34" s="4"/>
      <c r="J34" s="4"/>
      <c r="K34" s="4"/>
      <c r="L34" s="4"/>
      <c r="M34" s="4"/>
      <c r="N34" s="1132"/>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2">
      <c r="C35" s="1131">
        <f>'Set up ~ Config'!C115</f>
        <v>0</v>
      </c>
      <c r="D35" s="1545">
        <f>'Set up ~ Config'!D115</f>
        <v>0</v>
      </c>
      <c r="E35" s="1546"/>
      <c r="F35" s="1547"/>
      <c r="G35" s="190">
        <f>'Set up ~ Config'!G115</f>
        <v>0</v>
      </c>
      <c r="I35" s="4"/>
      <c r="J35" s="4"/>
      <c r="K35" s="4"/>
      <c r="L35" s="4"/>
      <c r="M35" s="4"/>
      <c r="N35" s="1132"/>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2">
      <c r="C36" s="1131">
        <f>'Set up ~ Config'!C116</f>
        <v>0</v>
      </c>
      <c r="D36" s="1545">
        <f>'Set up ~ Config'!D116</f>
        <v>0</v>
      </c>
      <c r="E36" s="1546"/>
      <c r="F36" s="1547"/>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2">
      <c r="C37" s="1131">
        <f>'Set up ~ Config'!C117</f>
        <v>0</v>
      </c>
      <c r="D37" s="1545">
        <f>'Set up ~ Config'!D117</f>
        <v>0</v>
      </c>
      <c r="E37" s="1546"/>
      <c r="F37" s="1547"/>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2">
      <c r="C38" s="1131">
        <f>'Set up ~ Config'!C118</f>
        <v>0</v>
      </c>
      <c r="D38" s="1545">
        <f>'Set up ~ Config'!D118</f>
        <v>0</v>
      </c>
      <c r="E38" s="1546"/>
      <c r="F38" s="1547"/>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2">
      <c r="C39" s="1549" t="str">
        <f>IF($Q$2=2,"Montant non-comptabilisé de l'année précédente","Previous Year's non-accounted Amount")</f>
        <v>Previous Year's non-accounted Amount</v>
      </c>
      <c r="D39" s="1550"/>
      <c r="E39" s="1550"/>
      <c r="F39" s="1551"/>
      <c r="G39" s="1117">
        <f>SUM(G29:G38)</f>
        <v>0</v>
      </c>
      <c r="I39" s="1133"/>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25">
      <c r="C40" s="1555" t="str">
        <f>IF($Q$2=2,F22&amp;" Fonds disponible du compte",F22&amp;" Account Available Funds")</f>
        <v>1015 Account Available Funds</v>
      </c>
      <c r="D40" s="1556"/>
      <c r="E40" s="1556"/>
      <c r="F40" s="1556"/>
      <c r="G40" s="1122"/>
      <c r="H40" s="1120"/>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25">
      <c r="C41" s="1552" t="str">
        <f>IF($Q$2=2,"Solde reporté à la ligne "&amp;F22&amp;" du Bilan - page 7","This balance fwrd'd to line "&amp;F22&amp;" of Balance Sheet -  page 7")</f>
        <v>This balance fwrd'd to line 1015 of Balance Sheet -  page 7</v>
      </c>
      <c r="D41" s="1553"/>
      <c r="E41" s="1553"/>
      <c r="F41" s="1554"/>
      <c r="G41" s="1124">
        <f>IF(AND(SUM(G23+G24-G25-G39)&lt;0.001,SUM(G23+G24-G25-G39)&gt;-0.001),0,SUM(G23+G24-G25-G39))</f>
        <v>0</v>
      </c>
      <c r="H41" s="1120"/>
      <c r="I41" s="26"/>
      <c r="N41" s="1124">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25">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25">
      <c r="G43" s="1127">
        <f>IF(AND(G41-N41&lt;0.001,G41-N41&gt;-0.001),0,G41-N41)</f>
        <v>0</v>
      </c>
      <c r="H43" s="1534">
        <f>IF($Q$2=2,IF(G43=0,$T$8,$T$5),IF(G43=0,$T$9,$T$7))</f>
        <v>0</v>
      </c>
      <c r="I43" s="1534"/>
      <c r="J43" s="1534"/>
      <c r="K43" s="1534"/>
      <c r="L43" s="1534"/>
      <c r="M43" s="1534"/>
      <c r="N43" s="1535"/>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2">
      <c r="C44" s="1523"/>
      <c r="D44" s="1523"/>
      <c r="E44" s="1523"/>
      <c r="F44" s="1523"/>
      <c r="G44" s="1523"/>
      <c r="H44" s="1523"/>
      <c r="I44" s="1523"/>
      <c r="J44" s="1523"/>
      <c r="K44" s="1523"/>
      <c r="L44" s="1523"/>
      <c r="M44" s="1523"/>
      <c r="N44" s="1523"/>
      <c r="O44" s="1111"/>
      <c r="P44" s="1106"/>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2">
      <c r="C45" s="1525"/>
      <c r="D45" s="1525"/>
      <c r="E45" s="1525"/>
      <c r="F45" s="1525"/>
      <c r="G45" s="1525"/>
      <c r="H45" s="1525"/>
      <c r="I45" s="1525"/>
      <c r="J45" s="1525"/>
      <c r="K45" s="1525"/>
      <c r="L45" s="1525"/>
      <c r="M45" s="1525"/>
      <c r="N45" s="1525"/>
      <c r="O45" s="1111"/>
      <c r="P45" s="1106"/>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2">
      <c r="D46" s="1526" t="str">
        <f>IF($Q$2=2,"Réconciliation détaillée du compte "&amp;F48&amp;" - "&amp;C48,"Detailed Reconciliation of the Account "&amp;F48&amp;" - "&amp;C48)</f>
        <v>Detailed Reconciliation of the Account 1020 - Canteen</v>
      </c>
      <c r="E46" s="1526"/>
      <c r="F46" s="1526"/>
      <c r="G46" s="1526"/>
      <c r="H46" s="1526"/>
      <c r="I46" s="1526"/>
      <c r="J46" s="1526"/>
      <c r="K46" s="1526"/>
      <c r="L46" s="1526"/>
      <c r="M46" s="1526"/>
      <c r="N46" s="1113"/>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2">
      <c r="C47" s="1527" t="str">
        <f>IF($Q$2=2,"Réconciliation selon les livres comptables","Reconciliation as per BookKeeping")</f>
        <v>Reconciliation as per BookKeeping</v>
      </c>
      <c r="D47" s="1527"/>
      <c r="E47" s="1527"/>
      <c r="F47" s="1527"/>
      <c r="G47" s="1527"/>
      <c r="I47" s="1527" t="str">
        <f>IF($Q$2=2,"Réconciliation selon le décompte","Reconciliation as per counting")</f>
        <v>Reconciliation as per counting</v>
      </c>
      <c r="J47" s="1527"/>
      <c r="K47" s="1527"/>
      <c r="L47" s="1527"/>
      <c r="M47" s="1527"/>
      <c r="N47" s="1114"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25">
      <c r="C48" s="1528" t="str">
        <f>'Set up ~ Config'!G47</f>
        <v>Canteen</v>
      </c>
      <c r="D48" s="1528"/>
      <c r="E48" s="1528"/>
      <c r="F48" s="1115" t="str">
        <f>LEFT('Set up ~ Config'!F47,4)</f>
        <v>1020</v>
      </c>
      <c r="G48" s="82"/>
      <c r="I48" s="1529"/>
      <c r="J48" s="1529"/>
      <c r="K48" s="1529"/>
      <c r="L48" s="1529"/>
      <c r="M48" s="1529"/>
      <c r="N48" s="1529"/>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25">
      <c r="C49" s="1530" t="str">
        <f>IF($Q$2=2,"Solde du compte au ","Account Balance on ")</f>
        <v xml:space="preserve">Account Balance on </v>
      </c>
      <c r="D49" s="1530"/>
      <c r="E49" s="1530"/>
      <c r="F49" s="1116">
        <f>DATEVALUE('Set up ~ Config'!$L$5)</f>
        <v>45535</v>
      </c>
      <c r="G49" s="1117">
        <f>'Set up ~ Config'!D47</f>
        <v>0</v>
      </c>
      <c r="I49" s="1118" t="str">
        <f>IF($Q$2=2,"Date (aaaa-mm-jj):","Date (yyyy-mm-dd):")</f>
        <v>Date (yyyy-mm-dd):</v>
      </c>
      <c r="J49" s="957"/>
      <c r="K49" s="1531" t="str">
        <f>IF($Q$2=2,"Solde en main :","Balance in hand :")</f>
        <v>Balance in hand :</v>
      </c>
      <c r="L49" s="1532"/>
      <c r="M49" s="1533"/>
      <c r="N49" s="942"/>
      <c r="P49" s="12"/>
      <c r="Q49" s="1542"/>
      <c r="R49" s="1542"/>
      <c r="S49" s="1542"/>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2">
      <c r="C50" s="1536" t="str">
        <f>IF($Q$2=2,"Plus: Accroissements (Jrnl des revenus)","Plus: Increases (Revenue Jrnl)")</f>
        <v>Plus: Increases (Revenue Jrnl)</v>
      </c>
      <c r="D50" s="1536"/>
      <c r="E50" s="1536"/>
      <c r="F50" s="1536"/>
      <c r="G50" s="1117">
        <f>'Jrnl Rev'!G525</f>
        <v>0</v>
      </c>
      <c r="H50" s="1120"/>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2">
      <c r="C51" s="1536" t="str">
        <f>IF($Q$2=2," Moins: Décroissements (Jrnl des dépenses)","Less: Decreases (Expense Jrnl)")</f>
        <v>Less: Decreases (Expense Jrnl)</v>
      </c>
      <c r="D51" s="1536"/>
      <c r="E51" s="1536"/>
      <c r="F51" s="1536"/>
      <c r="G51" s="1117">
        <f>'Jrnl Exp ~ Dép'!G525</f>
        <v>0</v>
      </c>
      <c r="I51" s="188"/>
      <c r="J51" s="188"/>
      <c r="K51" s="188"/>
      <c r="L51" s="188"/>
      <c r="M51" s="188"/>
      <c r="N51" s="1121"/>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2">
      <c r="C52" s="1538"/>
      <c r="D52" s="1538"/>
      <c r="E52" s="1538"/>
      <c r="F52" s="1538"/>
      <c r="H52" s="1120"/>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25">
      <c r="C53" s="1537" t="str">
        <f>IF($Q$2=2,F48&amp;" Fonds disponible du compte",F48&amp;" Account Available Funds")</f>
        <v>1020 Account Available Funds</v>
      </c>
      <c r="D53" s="1537"/>
      <c r="E53" s="1537"/>
      <c r="F53" s="1537"/>
      <c r="G53" s="1122"/>
      <c r="I53" s="18"/>
      <c r="J53" s="12"/>
      <c r="K53" s="12"/>
      <c r="L53" s="12"/>
      <c r="M53" s="12"/>
      <c r="N53" s="1123"/>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25">
      <c r="C54" s="1539" t="str">
        <f>IF($Q$2=2,"Solde reporté à la ligne "&amp;F48&amp;" du Bilan - page 7","This balance fwrd'd to line "&amp;F48&amp;" of Balance Sheet -  page 7")</f>
        <v>This balance fwrd'd to line 1020 of Balance Sheet -  page 7</v>
      </c>
      <c r="D54" s="1539"/>
      <c r="E54" s="1539"/>
      <c r="F54" s="1539"/>
      <c r="G54" s="1124">
        <f>IF(AND(SUM(G49+G50-G51)&lt;0.001,SUM(G49+G50-G51)&gt;-0.001),0,SUM(G49+G50-G51))</f>
        <v>0</v>
      </c>
      <c r="H54" s="605"/>
      <c r="J54" s="82"/>
      <c r="K54" s="82"/>
      <c r="L54" s="82"/>
      <c r="M54" s="1125"/>
      <c r="N54" s="1124">
        <f>N49</f>
        <v>0</v>
      </c>
      <c r="P54" s="12"/>
      <c r="Q54" s="12"/>
      <c r="R54" s="12"/>
      <c r="S54" s="12"/>
      <c r="T54" s="12"/>
      <c r="U54" s="1119"/>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25">
      <c r="F55" s="189"/>
      <c r="J55" s="1120"/>
      <c r="M55" s="1126"/>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25">
      <c r="C56" s="1524"/>
      <c r="D56" s="1524"/>
      <c r="E56" s="1524"/>
      <c r="F56" s="1524"/>
      <c r="G56" s="1127">
        <f>IF(AND(G54-N54&lt;0.001,G54-N54&gt;-0.001),0,G54-N54)</f>
        <v>0</v>
      </c>
      <c r="H56" s="1534">
        <f>IF($Q$2=2,IF(G56=0,$T$8,$T$5),IF(G56=0,$T$9,$T$7))</f>
        <v>0</v>
      </c>
      <c r="I56" s="1534"/>
      <c r="J56" s="1534"/>
      <c r="K56" s="1534"/>
      <c r="L56" s="1534"/>
      <c r="M56" s="1534"/>
      <c r="N56" s="1535"/>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2">
      <c r="C57" s="1523"/>
      <c r="D57" s="1523"/>
      <c r="E57" s="1523"/>
      <c r="F57" s="1523"/>
      <c r="G57" s="1523"/>
      <c r="H57" s="1523"/>
      <c r="I57" s="1523"/>
      <c r="J57" s="1523"/>
      <c r="K57" s="1523"/>
      <c r="L57" s="1523"/>
      <c r="M57" s="1523"/>
      <c r="N57" s="1523"/>
      <c r="O57" s="1111"/>
      <c r="P57" s="1106"/>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2">
      <c r="C58" s="1525"/>
      <c r="D58" s="1525"/>
      <c r="E58" s="1525"/>
      <c r="F58" s="1525"/>
      <c r="G58" s="1525"/>
      <c r="H58" s="1525"/>
      <c r="I58" s="1525"/>
      <c r="J58" s="1525"/>
      <c r="K58" s="1525"/>
      <c r="L58" s="1525"/>
      <c r="M58" s="1525"/>
      <c r="N58" s="1525"/>
      <c r="O58" s="1111"/>
      <c r="P58" s="1106"/>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2">
      <c r="D59" s="1526" t="str">
        <f>IF($Q$2=2,"Réconciliation détaillée du compte "&amp;F61&amp;" - "&amp;C61,"Detailed Reconciliation of the Account "&amp;F61&amp;" - "&amp;C61)</f>
        <v>Detailed Reconciliation of the Account 1025 - Petty Cash</v>
      </c>
      <c r="E59" s="1526"/>
      <c r="F59" s="1526"/>
      <c r="G59" s="1526"/>
      <c r="H59" s="1526"/>
      <c r="I59" s="1526"/>
      <c r="J59" s="1526"/>
      <c r="K59" s="1526"/>
      <c r="L59" s="1526"/>
      <c r="M59" s="1526"/>
      <c r="N59" s="1113"/>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2">
      <c r="C60" s="1527" t="str">
        <f>IF($Q$2=2,"Réconciliation selon les livres comptables","Reconciliation as per BookKeeping")</f>
        <v>Reconciliation as per BookKeeping</v>
      </c>
      <c r="D60" s="1527"/>
      <c r="E60" s="1527"/>
      <c r="F60" s="1527"/>
      <c r="G60" s="1527"/>
      <c r="I60" s="1527" t="str">
        <f>IF($Q$2=2,"Réconciliation selon le décompte","Reconciliation as per counting")</f>
        <v>Reconciliation as per counting</v>
      </c>
      <c r="J60" s="1527"/>
      <c r="K60" s="1527"/>
      <c r="L60" s="1527"/>
      <c r="M60" s="1527"/>
      <c r="N60" s="1114"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25">
      <c r="C61" s="1528" t="str">
        <f>'Set up ~ Config'!G48</f>
        <v>Petty Cash</v>
      </c>
      <c r="D61" s="1528"/>
      <c r="E61" s="1528"/>
      <c r="F61" s="1115" t="str">
        <f>LEFT('Set up ~ Config'!F48,4)</f>
        <v>1025</v>
      </c>
      <c r="G61" s="82"/>
      <c r="I61" s="1529"/>
      <c r="J61" s="1529"/>
      <c r="K61" s="1529"/>
      <c r="L61" s="1529"/>
      <c r="M61" s="1529"/>
      <c r="N61" s="1529"/>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25">
      <c r="C62" s="1530" t="str">
        <f>IF($Q$2=2,"Solde du compte au ","Account Balance on ")</f>
        <v xml:space="preserve">Account Balance on </v>
      </c>
      <c r="D62" s="1530"/>
      <c r="E62" s="1530"/>
      <c r="F62" s="1116">
        <f>DATEVALUE('Set up ~ Config'!$L$5)</f>
        <v>45535</v>
      </c>
      <c r="G62" s="1117">
        <f>'Set up ~ Config'!D48</f>
        <v>0</v>
      </c>
      <c r="I62" s="1118" t="str">
        <f>IF($Q$2=2,"Date (aaaa-mm-jj):","Date (yyyy-mm-dd):")</f>
        <v>Date (yyyy-mm-dd):</v>
      </c>
      <c r="J62" s="957"/>
      <c r="K62" s="1531" t="str">
        <f>IF($Q$2=2,"Solde en main :","Balance in hand :")</f>
        <v>Balance in hand :</v>
      </c>
      <c r="L62" s="1532"/>
      <c r="M62" s="1533"/>
      <c r="N62" s="942"/>
      <c r="P62" s="12"/>
      <c r="Q62" s="1542"/>
      <c r="R62" s="1542"/>
      <c r="S62" s="1542"/>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2">
      <c r="C63" s="1536" t="str">
        <f>IF($Q$2=2,"Plus: Remboursements (Jrnl des revenus)","Plus: Reimbursements (Revenue Jrnl)")</f>
        <v>Plus: Reimbursements (Revenue Jrnl)</v>
      </c>
      <c r="D63" s="1536"/>
      <c r="E63" s="1536"/>
      <c r="F63" s="1536"/>
      <c r="G63" s="1117">
        <f>'Jrnl Rev'!G526</f>
        <v>0</v>
      </c>
      <c r="H63" s="1120"/>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2">
      <c r="C64" s="1536" t="str">
        <f>IF($Q$2=2," Moins: Dépenses (Jrnl des dépenses)","Less: Expenses (Expense Jrnl)")</f>
        <v>Less: Expenses (Expense Jrnl)</v>
      </c>
      <c r="D64" s="1536"/>
      <c r="E64" s="1536"/>
      <c r="F64" s="1536"/>
      <c r="G64" s="1117">
        <f>'Jrnl Exp ~ Dép'!G526</f>
        <v>0</v>
      </c>
      <c r="H64" s="1"/>
      <c r="I64" s="188"/>
      <c r="J64" s="188"/>
      <c r="K64" s="188"/>
      <c r="L64" s="188"/>
      <c r="M64" s="188"/>
      <c r="N64" s="1121"/>
      <c r="O64" s="1"/>
      <c r="P64" s="12"/>
      <c r="Q64" s="12"/>
      <c r="R64" s="12"/>
      <c r="S64" s="12"/>
    </row>
    <row r="65" spans="3:62" s="1" customFormat="1" ht="25.5" customHeight="1" x14ac:dyDescent="0.2">
      <c r="C65" s="1538"/>
      <c r="D65" s="1538"/>
      <c r="E65" s="1538"/>
      <c r="F65" s="1538"/>
      <c r="H65" s="1120"/>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25">
      <c r="C66" s="1537" t="str">
        <f>IF($Q$2=2,F61&amp;" Fonds disponible du compte",F61&amp;" Account Available Funds")</f>
        <v>1025 Account Available Funds</v>
      </c>
      <c r="D66" s="1537"/>
      <c r="E66" s="1537"/>
      <c r="F66" s="1537"/>
      <c r="G66" s="1122"/>
      <c r="I66" s="18"/>
      <c r="J66" s="12"/>
      <c r="K66" s="12"/>
      <c r="L66" s="12"/>
      <c r="M66" s="12"/>
      <c r="N66" s="1123"/>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25">
      <c r="C67" s="1539" t="str">
        <f>IF($Q$2=2,"Solde reporté à la ligne "&amp;F61&amp;" du Bilan - page 7","This balance fwrd'd to line "&amp;F61&amp;" of Balance Sheet -  page 7")</f>
        <v>This balance fwrd'd to line 1025 of Balance Sheet -  page 7</v>
      </c>
      <c r="D67" s="1539"/>
      <c r="E67" s="1539"/>
      <c r="F67" s="1539"/>
      <c r="G67" s="1124">
        <f>IF(AND(SUM(G62+G63-G64)&lt;0.001,SUM(G62+G63-G64)&gt;-0.001),0,SUM(G62+G63-G64))</f>
        <v>0</v>
      </c>
      <c r="H67" s="605"/>
      <c r="J67" s="82"/>
      <c r="K67" s="82"/>
      <c r="L67" s="82"/>
      <c r="M67" s="1125"/>
      <c r="N67" s="1124">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25">
      <c r="F68" s="189"/>
      <c r="J68" s="1120"/>
      <c r="M68" s="1126"/>
      <c r="P68" s="12"/>
      <c r="Q68" s="12"/>
      <c r="R68" s="12"/>
      <c r="S68" s="12"/>
      <c r="T68" s="12"/>
      <c r="U68" s="1119"/>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25">
      <c r="C69" s="1524"/>
      <c r="D69" s="1524"/>
      <c r="E69" s="1524"/>
      <c r="F69" s="1524"/>
      <c r="G69" s="1127">
        <f>IF(AND(G67-N67&lt;0.001,G67-N67&gt;-0.001),0,G67-N67)</f>
        <v>0</v>
      </c>
      <c r="H69" s="1534">
        <f>IF($Q$2=2,IF(G69=0,$T$8,$T$5),IF(G69=0,$T$9,$T$7))</f>
        <v>0</v>
      </c>
      <c r="I69" s="1534"/>
      <c r="J69" s="1534"/>
      <c r="K69" s="1534"/>
      <c r="L69" s="1534"/>
      <c r="M69" s="1534"/>
      <c r="N69" s="1535"/>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2">
      <c r="C70" s="1523"/>
      <c r="D70" s="1523"/>
      <c r="E70" s="1523"/>
      <c r="F70" s="1523"/>
      <c r="G70" s="1523"/>
      <c r="H70" s="1523"/>
      <c r="I70" s="1523"/>
      <c r="J70" s="1523"/>
      <c r="K70" s="1523"/>
      <c r="L70" s="1523"/>
      <c r="M70" s="1523"/>
      <c r="N70" s="1523"/>
      <c r="O70" s="1111"/>
      <c r="P70" s="1106"/>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2">
      <c r="C71" s="1525"/>
      <c r="D71" s="1525"/>
      <c r="E71" s="1525"/>
      <c r="F71" s="1525"/>
      <c r="G71" s="1525"/>
      <c r="H71" s="1525"/>
      <c r="I71" s="1525"/>
      <c r="J71" s="1525"/>
      <c r="K71" s="1525"/>
      <c r="L71" s="1525"/>
      <c r="M71" s="1525"/>
      <c r="N71" s="1525"/>
      <c r="O71" s="1111"/>
      <c r="P71" s="1106"/>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2">
      <c r="D72" s="1526" t="str">
        <f>IF($Q$2=2,"Réconciliation détaillée du compte "&amp;F74&amp;" - "&amp;C74,"Detailed Reconciliation of the Account "&amp;F74&amp;" - "&amp;C74)</f>
        <v>Detailed Reconciliation of the Account 1030 - Receivables - Short Term</v>
      </c>
      <c r="E72" s="1526"/>
      <c r="F72" s="1526"/>
      <c r="G72" s="1526"/>
      <c r="H72" s="1526"/>
      <c r="I72" s="1526"/>
      <c r="J72" s="1526"/>
      <c r="K72" s="1526"/>
      <c r="L72" s="1526"/>
      <c r="M72" s="1526"/>
      <c r="N72" s="1113"/>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2">
      <c r="C73" s="1527" t="str">
        <f>IF($Q$2=2,"Réconciliation selon les livres comptables","Reconciliation as per BookKeeping")</f>
        <v>Reconciliation as per BookKeeping</v>
      </c>
      <c r="D73" s="1527"/>
      <c r="E73" s="1527"/>
      <c r="F73" s="1527"/>
      <c r="G73" s="1527"/>
      <c r="I73" s="1527" t="str">
        <f>IF($Q$2=2,"Réconciliation selon le décompte","Reconciliation as per counting")</f>
        <v>Reconciliation as per counting</v>
      </c>
      <c r="J73" s="1527"/>
      <c r="K73" s="1527"/>
      <c r="L73" s="1527"/>
      <c r="M73" s="1527"/>
      <c r="N73" s="1114"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25">
      <c r="C74" s="1528" t="str">
        <f>'Set up ~ Config'!G49</f>
        <v>Receivables - Short Term</v>
      </c>
      <c r="D74" s="1528"/>
      <c r="E74" s="1528"/>
      <c r="F74" s="1115" t="str">
        <f>LEFT('Set up ~ Config'!F49,4)</f>
        <v>1030</v>
      </c>
      <c r="G74" s="82"/>
      <c r="I74" s="1529"/>
      <c r="J74" s="1529"/>
      <c r="K74" s="1529"/>
      <c r="L74" s="1529"/>
      <c r="M74" s="1529"/>
      <c r="N74" s="1529"/>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25">
      <c r="C75" s="1530" t="str">
        <f>IF($Q$2=2,"Solde du compte au ","Account Balance on ")</f>
        <v xml:space="preserve">Account Balance on </v>
      </c>
      <c r="D75" s="1530"/>
      <c r="E75" s="1530"/>
      <c r="F75" s="1116">
        <f>DATEVALUE('Set up ~ Config'!$L$5)</f>
        <v>45535</v>
      </c>
      <c r="G75" s="1117">
        <f>'Set up ~ Config'!D49</f>
        <v>0</v>
      </c>
      <c r="I75" s="1118" t="str">
        <f>IF($Q$2=2,"Date (aaaa-mm-jj):","Date (yyyy-mm-dd):")</f>
        <v>Date (yyyy-mm-dd):</v>
      </c>
      <c r="J75" s="957"/>
      <c r="K75" s="1531" t="str">
        <f>IF($Q$2=2,"Solde :","Balance :")</f>
        <v>Balance :</v>
      </c>
      <c r="L75" s="1532"/>
      <c r="M75" s="1533"/>
      <c r="N75" s="942"/>
      <c r="P75" s="12"/>
      <c r="Q75" s="1542"/>
      <c r="R75" s="1542"/>
      <c r="S75" s="1542"/>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2">
      <c r="C76" s="1536" t="str">
        <f>IF($Q$2=2,"Plus: Accroissements (Jrnl des revenus)","Plus: Increases (Revenue Jrnl)")</f>
        <v>Plus: Increases (Revenue Jrnl)</v>
      </c>
      <c r="D76" s="1536"/>
      <c r="E76" s="1536"/>
      <c r="F76" s="1536"/>
      <c r="G76" s="1117">
        <f>'Jrnl Rev'!G527</f>
        <v>0</v>
      </c>
      <c r="H76" s="1120"/>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2">
      <c r="C77" s="1536" t="str">
        <f>IF($Q$2=2," Moins: Décroissements (Jrnl des dépenses)","Less: Decreases (Expense Jrnl)")</f>
        <v>Less: Decreases (Expense Jrnl)</v>
      </c>
      <c r="D77" s="1536"/>
      <c r="E77" s="1536"/>
      <c r="F77" s="1536"/>
      <c r="G77" s="1117">
        <f>'Jrnl Exp ~ Dép'!G527</f>
        <v>0</v>
      </c>
      <c r="I77" s="188"/>
      <c r="J77" s="188"/>
      <c r="K77" s="188"/>
      <c r="L77" s="188"/>
      <c r="M77" s="188"/>
      <c r="N77" s="1121"/>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2">
      <c r="C78" s="1538"/>
      <c r="D78" s="1538"/>
      <c r="E78" s="1538"/>
      <c r="F78" s="1538"/>
      <c r="G78" s="1"/>
      <c r="H78" s="1120"/>
      <c r="I78" s="1"/>
      <c r="J78" s="1"/>
      <c r="K78" s="1"/>
      <c r="L78" s="1"/>
      <c r="M78" s="1"/>
      <c r="N78" s="1"/>
      <c r="O78" s="1"/>
      <c r="P78" s="12"/>
      <c r="Q78" s="12"/>
      <c r="R78" s="12"/>
      <c r="S78" s="12"/>
    </row>
    <row r="79" spans="3:62" s="1" customFormat="1" ht="25.5" customHeight="1" thickBot="1" x14ac:dyDescent="0.25">
      <c r="C79" s="1537" t="str">
        <f>IF($Q$2=2,F74&amp;" Fonds disponible du compte",F74&amp;" Account Available Funds")</f>
        <v>1030 Account Available Funds</v>
      </c>
      <c r="D79" s="1537"/>
      <c r="E79" s="1537"/>
      <c r="F79" s="1537"/>
      <c r="G79" s="1122"/>
      <c r="I79" s="18"/>
      <c r="J79" s="12"/>
      <c r="K79" s="12"/>
      <c r="L79" s="12"/>
      <c r="M79" s="12"/>
      <c r="N79" s="1123"/>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25">
      <c r="C80" s="1539" t="str">
        <f>IF($Q$2=2,"Solde reporté à la ligne "&amp;F74&amp;" du Bilan - page 7","This balance fwrd'd to line "&amp;F74&amp;" of Balance Sheet -  page 7")</f>
        <v>This balance fwrd'd to line 1030 of Balance Sheet -  page 7</v>
      </c>
      <c r="D80" s="1539"/>
      <c r="E80" s="1539"/>
      <c r="F80" s="1539"/>
      <c r="G80" s="1124">
        <f>IF(AND(SUM(G75+G76-G77)&lt;0.001,SUM(G75+G76-G77)&gt;-0.001),0,SUM(G75+G76-G77))</f>
        <v>0</v>
      </c>
      <c r="H80" s="605"/>
      <c r="J80" s="82"/>
      <c r="K80" s="82"/>
      <c r="L80" s="82"/>
      <c r="M80" s="1125"/>
      <c r="N80" s="1124">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25">
      <c r="F81" s="189"/>
      <c r="J81" s="1120"/>
      <c r="M81" s="1126"/>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25">
      <c r="C82" s="1524"/>
      <c r="D82" s="1524"/>
      <c r="E82" s="1524"/>
      <c r="F82" s="1524"/>
      <c r="G82" s="1127">
        <f>IF(AND(G80-N80&lt;0.001,G80-N80&gt;-0.001),0,G80-N80)</f>
        <v>0</v>
      </c>
      <c r="H82" s="1534">
        <f>IF($Q$2=2,IF(G82=0,$T$8,$T$5),IF(G82=0,$T$9,$T$7))</f>
        <v>0</v>
      </c>
      <c r="I82" s="1534"/>
      <c r="J82" s="1534"/>
      <c r="K82" s="1534"/>
      <c r="L82" s="1534"/>
      <c r="M82" s="1534"/>
      <c r="N82" s="1535"/>
      <c r="P82" s="12"/>
      <c r="Q82" s="12"/>
      <c r="R82" s="12"/>
      <c r="S82" s="12"/>
      <c r="T82" s="12"/>
      <c r="U82" s="1119"/>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2">
      <c r="C83" s="1523"/>
      <c r="D83" s="1523"/>
      <c r="E83" s="1523"/>
      <c r="F83" s="1523"/>
      <c r="G83" s="1523"/>
      <c r="H83" s="1523"/>
      <c r="I83" s="1523"/>
      <c r="J83" s="1523"/>
      <c r="K83" s="1523"/>
      <c r="L83" s="1523"/>
      <c r="M83" s="1523"/>
      <c r="N83" s="1523"/>
      <c r="O83" s="1111"/>
      <c r="P83" s="1106"/>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2">
      <c r="C84" s="1525"/>
      <c r="D84" s="1525"/>
      <c r="E84" s="1525"/>
      <c r="F84" s="1525"/>
      <c r="G84" s="1525"/>
      <c r="H84" s="1525"/>
      <c r="I84" s="1525"/>
      <c r="J84" s="1525"/>
      <c r="K84" s="1525"/>
      <c r="L84" s="1525"/>
      <c r="M84" s="1525"/>
      <c r="N84" s="1525"/>
      <c r="O84" s="1111"/>
      <c r="P84" s="1106"/>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2">
      <c r="D85" s="1526" t="str">
        <f>IF($Q$2=2,"Réconciliation détaillée du compte "&amp;F87&amp;" - "&amp;C87,"Detailed Reconciliation of the Account "&amp;F87&amp;" - "&amp;C87)</f>
        <v>Detailed Reconciliation of the Account 1035 - Disponible ~ Available</v>
      </c>
      <c r="E85" s="1526"/>
      <c r="F85" s="1526"/>
      <c r="G85" s="1526"/>
      <c r="H85" s="1526"/>
      <c r="I85" s="1526"/>
      <c r="J85" s="1526"/>
      <c r="K85" s="1526"/>
      <c r="L85" s="1526"/>
      <c r="M85" s="1526"/>
      <c r="N85" s="1113"/>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2">
      <c r="C86" s="1527" t="str">
        <f>IF($Q$2=2,"Réconciliation selon les livres comptables","Reconciliation as per BookKeeping")</f>
        <v>Reconciliation as per BookKeeping</v>
      </c>
      <c r="D86" s="1527"/>
      <c r="E86" s="1527"/>
      <c r="F86" s="1527"/>
      <c r="G86" s="1527"/>
      <c r="I86" s="1527" t="str">
        <f>IF($Q$2=2,"Réconciliation selon le décompte","Reconciliation as per counting")</f>
        <v>Reconciliation as per counting</v>
      </c>
      <c r="J86" s="1527"/>
      <c r="K86" s="1527"/>
      <c r="L86" s="1527"/>
      <c r="M86" s="1527"/>
      <c r="N86" s="1114"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25">
      <c r="C87" s="1528" t="str">
        <f>'Set up ~ Config'!G50</f>
        <v>Disponible ~ Available</v>
      </c>
      <c r="D87" s="1528"/>
      <c r="E87" s="1528"/>
      <c r="F87" s="1115" t="str">
        <f>LEFT('Set up ~ Config'!F50,4)</f>
        <v>1035</v>
      </c>
      <c r="G87" s="82"/>
      <c r="I87" s="1529"/>
      <c r="J87" s="1529"/>
      <c r="K87" s="1529"/>
      <c r="L87" s="1529"/>
      <c r="M87" s="1529"/>
      <c r="N87" s="1529"/>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25">
      <c r="C88" s="1530" t="str">
        <f>IF($Q$2=2,"Solde du compte au ","Account Balance on ")</f>
        <v xml:space="preserve">Account Balance on </v>
      </c>
      <c r="D88" s="1530"/>
      <c r="E88" s="1530"/>
      <c r="F88" s="1116">
        <f>DATEVALUE('Set up ~ Config'!$L$5)</f>
        <v>45535</v>
      </c>
      <c r="G88" s="1117">
        <f>'Set up ~ Config'!D50</f>
        <v>0</v>
      </c>
      <c r="I88" s="1118" t="str">
        <f>IF($Q$2=2,"Date (aaaa-mm-jj):","Date (yyyy-mm-dd):")</f>
        <v>Date (yyyy-mm-dd):</v>
      </c>
      <c r="J88" s="957"/>
      <c r="K88" s="1531" t="str">
        <f>IF($Q$2=2,"Solde :","Balance :")</f>
        <v>Balance :</v>
      </c>
      <c r="L88" s="1532"/>
      <c r="M88" s="1533"/>
      <c r="N88" s="942"/>
      <c r="P88" s="12"/>
      <c r="Q88" s="1542"/>
      <c r="R88" s="1542"/>
      <c r="S88" s="1542"/>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2">
      <c r="C89" s="1536" t="str">
        <f>IF($Q$2=2,"Plus: Accroissements (Jrnl des revenus)","Plus: Increases (Revenue Jrnl)")</f>
        <v>Plus: Increases (Revenue Jrnl)</v>
      </c>
      <c r="D89" s="1536"/>
      <c r="E89" s="1536"/>
      <c r="F89" s="1536"/>
      <c r="G89" s="1117">
        <f>'Jrnl Rev'!G528</f>
        <v>0</v>
      </c>
      <c r="H89" s="1120"/>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2">
      <c r="C90" s="1536" t="str">
        <f>IF($Q$2=2," Moins: Décroissements (Jrnl des dépenses)","Less: Decreases (Expense Jrnl)")</f>
        <v>Less: Decreases (Expense Jrnl)</v>
      </c>
      <c r="D90" s="1536"/>
      <c r="E90" s="1536"/>
      <c r="F90" s="1536"/>
      <c r="G90" s="1117">
        <f>'Jrnl Exp ~ Dép'!G528</f>
        <v>0</v>
      </c>
      <c r="I90" s="188"/>
      <c r="J90" s="188"/>
      <c r="K90" s="188"/>
      <c r="L90" s="188"/>
      <c r="M90" s="188"/>
      <c r="N90" s="1121"/>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2">
      <c r="C91" s="1538"/>
      <c r="D91" s="1538"/>
      <c r="E91" s="1538"/>
      <c r="F91" s="1538"/>
      <c r="H91" s="1120"/>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25">
      <c r="C92" s="1537" t="str">
        <f>IF($Q$2=2,F87&amp;" Fonds disponible du compte",F87&amp;" Account Available Funds")</f>
        <v>1035 Account Available Funds</v>
      </c>
      <c r="D92" s="1537"/>
      <c r="E92" s="1537"/>
      <c r="F92" s="1537"/>
      <c r="G92" s="1122"/>
      <c r="H92" s="1"/>
      <c r="I92" s="18"/>
      <c r="J92" s="12"/>
      <c r="K92" s="12"/>
      <c r="L92" s="12"/>
      <c r="M92" s="12"/>
      <c r="N92" s="1123"/>
      <c r="O92" s="1"/>
      <c r="P92" s="12"/>
      <c r="Q92" s="12"/>
      <c r="R92" s="12"/>
      <c r="S92" s="12"/>
    </row>
    <row r="93" spans="3:62" s="1" customFormat="1" ht="25.5" customHeight="1" thickBot="1" x14ac:dyDescent="0.25">
      <c r="C93" s="1539" t="str">
        <f>IF($Q$2=2,"Solde reporté à la ligne "&amp;F87&amp;" du Bilan - page 7","This balance fwrd'd to line "&amp;F87&amp;" of Balance Sheet -  page 7")</f>
        <v>This balance fwrd'd to line 1035 of Balance Sheet -  page 7</v>
      </c>
      <c r="D93" s="1539"/>
      <c r="E93" s="1539"/>
      <c r="F93" s="1539"/>
      <c r="G93" s="1124">
        <f>IF(AND(SUM(G88+G89-G90)&lt;0.001,SUM(G88+G89-G90)&gt;-0.001),0,SUM(G88+G89-G90))</f>
        <v>0</v>
      </c>
      <c r="H93" s="605"/>
      <c r="J93" s="82"/>
      <c r="K93" s="82"/>
      <c r="L93" s="82"/>
      <c r="M93" s="1125"/>
      <c r="N93" s="1124">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25">
      <c r="F94" s="189"/>
      <c r="J94" s="1120"/>
      <c r="M94" s="1126"/>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25">
      <c r="C95" s="1524"/>
      <c r="D95" s="1524"/>
      <c r="E95" s="1524"/>
      <c r="F95" s="1524"/>
      <c r="G95" s="1127">
        <f>IF(AND(G93-N93&lt;0.001,G93-N93&gt;-0.001),0,G93-N93)</f>
        <v>0</v>
      </c>
      <c r="H95" s="1534">
        <f>IF($Q$2=2,IF(G95=0,$T$8,$T$5),IF(G95=0,$T$9,$T$7))</f>
        <v>0</v>
      </c>
      <c r="I95" s="1534"/>
      <c r="J95" s="1534"/>
      <c r="K95" s="1534"/>
      <c r="L95" s="1534"/>
      <c r="M95" s="1534"/>
      <c r="N95" s="1535"/>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2">
      <c r="C96" s="1523"/>
      <c r="D96" s="1523"/>
      <c r="E96" s="1523"/>
      <c r="F96" s="1523"/>
      <c r="G96" s="1523"/>
      <c r="H96" s="1523"/>
      <c r="I96" s="1523"/>
      <c r="J96" s="1523"/>
      <c r="K96" s="1523"/>
      <c r="L96" s="1523"/>
      <c r="M96" s="1523"/>
      <c r="N96" s="1523"/>
      <c r="O96" s="1111"/>
      <c r="P96" s="1106"/>
      <c r="R96" s="12"/>
      <c r="S96" s="12"/>
      <c r="T96" s="12"/>
      <c r="U96" s="1119"/>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2">
      <c r="C97" s="1525"/>
      <c r="D97" s="1525"/>
      <c r="E97" s="1525"/>
      <c r="F97" s="1525"/>
      <c r="G97" s="1525"/>
      <c r="H97" s="1525"/>
      <c r="I97" s="1525"/>
      <c r="J97" s="1525"/>
      <c r="K97" s="1525"/>
      <c r="L97" s="1525"/>
      <c r="M97" s="1525"/>
      <c r="N97" s="1525"/>
      <c r="O97" s="1111"/>
      <c r="P97" s="1106"/>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2">
      <c r="D98" s="1526" t="str">
        <f>IF($Q$2=2,"Réconciliation détaillée du compte "&amp;F100&amp;" - "&amp;C100,"Detailed Reconciliation of the Account "&amp;F100&amp;" - "&amp;C100)</f>
        <v>Detailed Reconciliation of the Account 1040 - Disponible ~ Available</v>
      </c>
      <c r="E98" s="1526"/>
      <c r="F98" s="1526"/>
      <c r="G98" s="1526"/>
      <c r="H98" s="1526"/>
      <c r="I98" s="1526"/>
      <c r="J98" s="1526"/>
      <c r="K98" s="1526"/>
      <c r="L98" s="1526"/>
      <c r="M98" s="1526"/>
      <c r="N98" s="1113"/>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2">
      <c r="C99" s="1527" t="str">
        <f>IF($Q$2=2,"Réconciliation selon les livres comptables","Reconciliation as per BookKeeping")</f>
        <v>Reconciliation as per BookKeeping</v>
      </c>
      <c r="D99" s="1527"/>
      <c r="E99" s="1527"/>
      <c r="F99" s="1527"/>
      <c r="G99" s="1527"/>
      <c r="I99" s="1527" t="str">
        <f>IF($Q$2=2,"Réconciliation selon l'état de compte","Reconciliation as per Account Statement")</f>
        <v>Reconciliation as per Account Statement</v>
      </c>
      <c r="J99" s="1527"/>
      <c r="K99" s="1527"/>
      <c r="L99" s="1527"/>
      <c r="M99" s="1527"/>
      <c r="N99" s="1114"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25">
      <c r="C100" s="1528" t="str">
        <f>'Set up ~ Config'!G51</f>
        <v>Disponible ~ Available</v>
      </c>
      <c r="D100" s="1528"/>
      <c r="E100" s="1528"/>
      <c r="F100" s="1115" t="str">
        <f>LEFT('Set up ~ Config'!F51,4)</f>
        <v>1040</v>
      </c>
      <c r="G100" s="82"/>
      <c r="I100" s="1529"/>
      <c r="J100" s="1529"/>
      <c r="K100" s="1529"/>
      <c r="L100" s="1529"/>
      <c r="M100" s="1529"/>
      <c r="N100" s="1529"/>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25">
      <c r="C101" s="1530" t="str">
        <f>IF($Q$2=2,"Solde du compte au ","Account Balance on ")</f>
        <v xml:space="preserve">Account Balance on </v>
      </c>
      <c r="D101" s="1530"/>
      <c r="E101" s="1530"/>
      <c r="F101" s="1116">
        <f>DATEVALUE('Set up ~ Config'!$L$5)</f>
        <v>45535</v>
      </c>
      <c r="G101" s="1117">
        <f>'Set up ~ Config'!D51</f>
        <v>0</v>
      </c>
      <c r="I101" s="1118" t="str">
        <f>IF($Q$2=2,"Date (aaaa-mm-jj):","Date (yyyy-mm-dd):")</f>
        <v>Date (yyyy-mm-dd):</v>
      </c>
      <c r="J101" s="957"/>
      <c r="K101" s="1531" t="str">
        <f>IF($Q$2=2,"Solde :","Balance :")</f>
        <v>Balance :</v>
      </c>
      <c r="L101" s="1532"/>
      <c r="M101" s="1533"/>
      <c r="N101" s="942"/>
      <c r="P101" s="12"/>
      <c r="Q101" s="1542"/>
      <c r="R101" s="1542"/>
      <c r="S101" s="1542"/>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2">
      <c r="C102" s="1536" t="str">
        <f>IF($Q$2=2,"Plus: Accroissements (Jrnl des revenus)","Plus: Increases (Revenue Jrnl)")</f>
        <v>Plus: Increases (Revenue Jrnl)</v>
      </c>
      <c r="D102" s="1536"/>
      <c r="E102" s="1536"/>
      <c r="F102" s="1536"/>
      <c r="G102" s="1117">
        <f>'Jrnl Rev'!G529</f>
        <v>0</v>
      </c>
      <c r="H102" s="1120"/>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2">
      <c r="C103" s="1536" t="str">
        <f>IF($Q$2=2," Moins: Décroissements (Jrnl des dépenses)","Less: Decreases (Expense Jrnl)")</f>
        <v>Less: Decreases (Expense Jrnl)</v>
      </c>
      <c r="D103" s="1536"/>
      <c r="E103" s="1536"/>
      <c r="F103" s="1536"/>
      <c r="G103" s="1117">
        <f>'Jrnl Exp ~ Dép'!G529</f>
        <v>0</v>
      </c>
      <c r="I103" s="188"/>
      <c r="J103" s="188"/>
      <c r="K103" s="188"/>
      <c r="L103" s="188"/>
      <c r="M103" s="188"/>
      <c r="N103" s="1121"/>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2">
      <c r="C104" s="1538"/>
      <c r="D104" s="1538"/>
      <c r="E104" s="1538"/>
      <c r="F104" s="1538"/>
      <c r="H104" s="1120"/>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25">
      <c r="C105" s="1537" t="str">
        <f>IF($Q$2=2,F100&amp;" Fonds disponible du compte",F100&amp;" Account Available Funds")</f>
        <v>1040 Account Available Funds</v>
      </c>
      <c r="D105" s="1537"/>
      <c r="E105" s="1537"/>
      <c r="F105" s="1537"/>
      <c r="G105" s="1122"/>
      <c r="I105" s="18"/>
      <c r="J105" s="12"/>
      <c r="K105" s="12"/>
      <c r="L105" s="12"/>
      <c r="M105" s="12"/>
      <c r="N105" s="1123"/>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25">
      <c r="C106" s="1539" t="str">
        <f>IF($Q$2=2,"Solde reporté à la ligne "&amp;F100&amp;" du Bilan - page 7","This balance fwrd'd to line "&amp;F100&amp;" of Balance Sheet -  page 7")</f>
        <v>This balance fwrd'd to line 1040 of Balance Sheet -  page 7</v>
      </c>
      <c r="D106" s="1539"/>
      <c r="E106" s="1539"/>
      <c r="F106" s="1539"/>
      <c r="G106" s="1124">
        <f>IF(AND(SUM(G101+G102-G103)&lt;0.001,SUM(G101+G102-G103)&gt;-0.001),0,SUM(G101+G102-G103))</f>
        <v>0</v>
      </c>
      <c r="H106" s="605"/>
      <c r="I106" s="1"/>
      <c r="J106" s="82"/>
      <c r="K106" s="82"/>
      <c r="L106" s="82"/>
      <c r="M106" s="1125"/>
      <c r="N106" s="1124">
        <f>N101</f>
        <v>0</v>
      </c>
      <c r="O106" s="1"/>
      <c r="P106" s="12"/>
      <c r="Q106" s="12"/>
      <c r="R106" s="12"/>
      <c r="S106" s="12"/>
    </row>
    <row r="107" spans="3:62" s="1" customFormat="1" ht="9.75" customHeight="1" thickBot="1" x14ac:dyDescent="0.25">
      <c r="F107" s="189"/>
      <c r="J107" s="1120"/>
      <c r="M107" s="1126"/>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25">
      <c r="C108" s="1524"/>
      <c r="D108" s="1524"/>
      <c r="E108" s="1524"/>
      <c r="F108" s="1524"/>
      <c r="G108" s="1127">
        <f>IF(AND(G106-N106&lt;0.001,G106-N106&gt;-0.001),0,G106-N106)</f>
        <v>0</v>
      </c>
      <c r="H108" s="1534">
        <f>IF($Q$2=2,IF(G108=0,$T$8,$T$5),IF(G108=0,$T$9,$T$7))</f>
        <v>0</v>
      </c>
      <c r="I108" s="1534"/>
      <c r="J108" s="1534"/>
      <c r="K108" s="1534"/>
      <c r="L108" s="1534"/>
      <c r="M108" s="1534"/>
      <c r="N108" s="1535"/>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2">
      <c r="C109" s="1523"/>
      <c r="D109" s="1523"/>
      <c r="E109" s="1523"/>
      <c r="F109" s="1523"/>
      <c r="G109" s="1523"/>
      <c r="H109" s="1523"/>
      <c r="I109" s="1523"/>
      <c r="J109" s="1523"/>
      <c r="K109" s="1523"/>
      <c r="L109" s="1523"/>
      <c r="M109" s="1523"/>
      <c r="N109" s="1523"/>
      <c r="O109" s="1111"/>
      <c r="P109" s="1106"/>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2">
      <c r="C110" s="1525"/>
      <c r="D110" s="1525"/>
      <c r="E110" s="1525"/>
      <c r="F110" s="1525"/>
      <c r="G110" s="1525"/>
      <c r="H110" s="1525"/>
      <c r="I110" s="1525"/>
      <c r="J110" s="1525"/>
      <c r="K110" s="1525"/>
      <c r="L110" s="1525"/>
      <c r="M110" s="1525"/>
      <c r="N110" s="1525"/>
      <c r="O110" s="1111"/>
      <c r="P110" s="1106"/>
      <c r="R110" s="12"/>
      <c r="S110" s="12"/>
      <c r="T110" s="12"/>
      <c r="U110" s="1119"/>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2">
      <c r="D111" s="1526" t="str">
        <f>IF($Q$2=2,"Réconciliation détaillée du compte "&amp;F113&amp;" - "&amp;C113,"Detailed Reconciliation of the Account "&amp;F113&amp;" - "&amp;C113)</f>
        <v>Detailed Reconciliation of the Account 1045 - Disponible ~ Available</v>
      </c>
      <c r="E111" s="1526"/>
      <c r="F111" s="1526"/>
      <c r="G111" s="1526"/>
      <c r="H111" s="1526"/>
      <c r="I111" s="1526"/>
      <c r="J111" s="1526"/>
      <c r="K111" s="1526"/>
      <c r="L111" s="1526"/>
      <c r="M111" s="1526"/>
      <c r="N111" s="1113"/>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2">
      <c r="C112" s="1527" t="str">
        <f>IF($Q$2=2,"Réconciliation selon les livres comptables","Reconciliation as per BookKeeping")</f>
        <v>Reconciliation as per BookKeeping</v>
      </c>
      <c r="D112" s="1527"/>
      <c r="E112" s="1527"/>
      <c r="F112" s="1527"/>
      <c r="G112" s="1527"/>
      <c r="I112" s="1527" t="str">
        <f>IF($Q$2=2,"Réconciliation selon l'état de compte","Reconciliation as per Account Statement")</f>
        <v>Reconciliation as per Account Statement</v>
      </c>
      <c r="J112" s="1527"/>
      <c r="K112" s="1527"/>
      <c r="L112" s="1527"/>
      <c r="M112" s="1527"/>
      <c r="N112" s="1114"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25">
      <c r="C113" s="1528" t="str">
        <f>'Set up ~ Config'!G52</f>
        <v>Disponible ~ Available</v>
      </c>
      <c r="D113" s="1528"/>
      <c r="E113" s="1528"/>
      <c r="F113" s="1115" t="str">
        <f>LEFT('Set up ~ Config'!F52,4)</f>
        <v>1045</v>
      </c>
      <c r="G113" s="82"/>
      <c r="I113" s="1529"/>
      <c r="J113" s="1529"/>
      <c r="K113" s="1529"/>
      <c r="L113" s="1529"/>
      <c r="M113" s="1529"/>
      <c r="N113" s="1529"/>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25">
      <c r="C114" s="1530" t="str">
        <f>IF($Q$2=2,"Solde du compte au ","Account Balance on ")</f>
        <v xml:space="preserve">Account Balance on </v>
      </c>
      <c r="D114" s="1530"/>
      <c r="E114" s="1530"/>
      <c r="F114" s="1116">
        <f>DATEVALUE('Set up ~ Config'!$L$5)</f>
        <v>45535</v>
      </c>
      <c r="G114" s="1117">
        <f>'Set up ~ Config'!D52</f>
        <v>0</v>
      </c>
      <c r="I114" s="1118" t="str">
        <f>IF($Q$2=2,"Date (aaaa-mm-jj):","Date (yyyy-mm-dd):")</f>
        <v>Date (yyyy-mm-dd):</v>
      </c>
      <c r="J114" s="957"/>
      <c r="K114" s="1531" t="str">
        <f>IF($Q$2=2,"Solde :","Balance :")</f>
        <v>Balance :</v>
      </c>
      <c r="L114" s="1532"/>
      <c r="M114" s="1533"/>
      <c r="N114" s="942"/>
      <c r="P114" s="12"/>
      <c r="Q114" s="1542"/>
      <c r="R114" s="1542"/>
      <c r="S114" s="1542"/>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2">
      <c r="C115" s="1536" t="str">
        <f>IF($Q$2=2,"Plus: Accroissements (Jrnl des revenus)","Plus: Increases (Revenue Jrnl)")</f>
        <v>Plus: Increases (Revenue Jrnl)</v>
      </c>
      <c r="D115" s="1536"/>
      <c r="E115" s="1536"/>
      <c r="F115" s="1536"/>
      <c r="G115" s="1117">
        <f>'Jrnl Rev'!G530</f>
        <v>0</v>
      </c>
      <c r="H115" s="1120"/>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2">
      <c r="C116" s="1536" t="str">
        <f>IF($Q$2=2," Moins: Décroissements (Jrnl des dépenses)","Less: Decreases (Expense Jrnl)")</f>
        <v>Less: Decreases (Expense Jrnl)</v>
      </c>
      <c r="D116" s="1536"/>
      <c r="E116" s="1536"/>
      <c r="F116" s="1536"/>
      <c r="G116" s="1117">
        <f>'Jrnl Exp ~ Dép'!G530</f>
        <v>0</v>
      </c>
      <c r="I116" s="188"/>
      <c r="J116" s="188"/>
      <c r="K116" s="188"/>
      <c r="L116" s="188"/>
      <c r="M116" s="188"/>
      <c r="N116" s="1121"/>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2">
      <c r="C117" s="1538"/>
      <c r="D117" s="1538"/>
      <c r="E117" s="1538"/>
      <c r="F117" s="1538"/>
      <c r="H117" s="1120"/>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25">
      <c r="C118" s="1537" t="str">
        <f>IF($Q$2=2,F113&amp;" Fonds disponible du compte",F113&amp;" Account Available Funds")</f>
        <v>1045 Account Available Funds</v>
      </c>
      <c r="D118" s="1537"/>
      <c r="E118" s="1537"/>
      <c r="F118" s="1537"/>
      <c r="G118" s="1122"/>
      <c r="I118" s="18"/>
      <c r="J118" s="12"/>
      <c r="K118" s="12"/>
      <c r="L118" s="12"/>
      <c r="M118" s="12"/>
      <c r="N118" s="1123"/>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25">
      <c r="C119" s="1539" t="str">
        <f>IF($Q$2=2,"Solde reporté à la ligne "&amp;F113&amp;" du Bilan - page 7","This balance fwrd'd to line "&amp;F113&amp;" of Balance Sheet -  page 7")</f>
        <v>This balance fwrd'd to line 1045 of Balance Sheet -  page 7</v>
      </c>
      <c r="D119" s="1539"/>
      <c r="E119" s="1539"/>
      <c r="F119" s="1539"/>
      <c r="G119" s="1124">
        <f>IF(AND(SUM(G114+G115-G116)&lt;0.001,SUM(G114+G115-G116)&gt;-0.001),0,SUM(G114+G115-G116))</f>
        <v>0</v>
      </c>
      <c r="H119" s="605"/>
      <c r="J119" s="82"/>
      <c r="K119" s="82"/>
      <c r="L119" s="82"/>
      <c r="M119" s="1125"/>
      <c r="N119" s="1124">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25">
      <c r="C120" s="1"/>
      <c r="D120" s="1"/>
      <c r="E120" s="1"/>
      <c r="F120" s="189"/>
      <c r="G120" s="1"/>
      <c r="H120" s="1"/>
      <c r="I120" s="1"/>
      <c r="J120" s="1120"/>
      <c r="K120" s="1"/>
      <c r="L120" s="1"/>
      <c r="M120" s="1126"/>
      <c r="N120" s="1"/>
      <c r="O120" s="1"/>
      <c r="P120" s="12"/>
      <c r="Q120" s="12"/>
      <c r="R120" s="12"/>
      <c r="S120" s="12"/>
    </row>
    <row r="121" spans="3:62" s="1" customFormat="1" ht="25.5" customHeight="1" thickBot="1" x14ac:dyDescent="0.25">
      <c r="C121" s="1524"/>
      <c r="D121" s="1524"/>
      <c r="E121" s="1524"/>
      <c r="F121" s="1524"/>
      <c r="G121" s="1127">
        <f>IF(AND(G119-N119&lt;0.001,G119-N119&gt;-0.001),0,G119-N119)</f>
        <v>0</v>
      </c>
      <c r="H121" s="1534">
        <f>IF($Q$2=2,IF(G121=0,$T$8,$T$5),IF(G121=0,$T$9,$T$7))</f>
        <v>0</v>
      </c>
      <c r="I121" s="1534"/>
      <c r="J121" s="1534"/>
      <c r="K121" s="1534"/>
      <c r="L121" s="1534"/>
      <c r="M121" s="1534"/>
      <c r="N121" s="1535"/>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2">
      <c r="C122" s="1523"/>
      <c r="D122" s="1523"/>
      <c r="E122" s="1523"/>
      <c r="F122" s="1523"/>
      <c r="G122" s="1523"/>
      <c r="H122" s="1523"/>
      <c r="I122" s="1523"/>
      <c r="J122" s="1523"/>
      <c r="K122" s="1523"/>
      <c r="L122" s="1523"/>
      <c r="M122" s="1523"/>
      <c r="N122" s="1523"/>
      <c r="O122" s="1111"/>
      <c r="P122" s="1106"/>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2">
      <c r="C123" s="1525"/>
      <c r="D123" s="1525"/>
      <c r="E123" s="1525"/>
      <c r="F123" s="1525"/>
      <c r="G123" s="1525"/>
      <c r="H123" s="1525"/>
      <c r="I123" s="1525"/>
      <c r="J123" s="1525"/>
      <c r="K123" s="1525"/>
      <c r="L123" s="1525"/>
      <c r="M123" s="1525"/>
      <c r="N123" s="1525"/>
      <c r="O123" s="1111"/>
      <c r="P123" s="1106"/>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2">
      <c r="D124" s="1526" t="str">
        <f>IF($Q$2=2,"Réconciliation détaillée du compte "&amp;F126&amp;" - "&amp;C126,"Detailed Reconciliation of the Account "&amp;F126&amp;" - "&amp;C126)</f>
        <v>Detailed Reconciliation of the Account 1050 - Disponible ~ Available</v>
      </c>
      <c r="E124" s="1526"/>
      <c r="F124" s="1526"/>
      <c r="G124" s="1526"/>
      <c r="H124" s="1526"/>
      <c r="I124" s="1526"/>
      <c r="J124" s="1526"/>
      <c r="K124" s="1526"/>
      <c r="L124" s="1526"/>
      <c r="M124" s="1526"/>
      <c r="N124" s="1113"/>
      <c r="P124" s="12"/>
      <c r="R124" s="12"/>
      <c r="S124" s="12"/>
      <c r="T124" s="12"/>
      <c r="U124" s="1119"/>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2">
      <c r="C125" s="1527" t="str">
        <f>IF($Q$2=2,"Réconciliation selon les livres comptables","Reconciliation as per BookKeeping")</f>
        <v>Reconciliation as per BookKeeping</v>
      </c>
      <c r="D125" s="1527"/>
      <c r="E125" s="1527"/>
      <c r="F125" s="1527"/>
      <c r="G125" s="1527"/>
      <c r="I125" s="1527" t="str">
        <f>IF($Q$2=2,"Réconciliation selon l'état de compte","Reconciliation as per Account Statement")</f>
        <v>Reconciliation as per Account Statement</v>
      </c>
      <c r="J125" s="1527"/>
      <c r="K125" s="1527"/>
      <c r="L125" s="1527"/>
      <c r="M125" s="1527"/>
      <c r="N125" s="1114"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25">
      <c r="C126" s="1528" t="str">
        <f>'Set up ~ Config'!G53</f>
        <v>Disponible ~ Available</v>
      </c>
      <c r="D126" s="1528"/>
      <c r="E126" s="1528"/>
      <c r="F126" s="1115" t="str">
        <f>LEFT('Set up ~ Config'!F53,4)</f>
        <v>1050</v>
      </c>
      <c r="G126" s="82"/>
      <c r="I126" s="1529"/>
      <c r="J126" s="1529"/>
      <c r="K126" s="1529"/>
      <c r="L126" s="1529"/>
      <c r="M126" s="1529"/>
      <c r="N126" s="1529"/>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25">
      <c r="C127" s="1530" t="str">
        <f>IF($Q$2=2,"Solde du compte au ","Account Balance on ")</f>
        <v xml:space="preserve">Account Balance on </v>
      </c>
      <c r="D127" s="1530"/>
      <c r="E127" s="1530"/>
      <c r="F127" s="1116">
        <f>DATEVALUE('Set up ~ Config'!$L$5)</f>
        <v>45535</v>
      </c>
      <c r="G127" s="1117">
        <f>'Set up ~ Config'!D53</f>
        <v>0</v>
      </c>
      <c r="I127" s="1118" t="str">
        <f>IF($Q$2=2,"Date (aaaa-mm-jj):","Date (yyyy-mm-dd):")</f>
        <v>Date (yyyy-mm-dd):</v>
      </c>
      <c r="J127" s="957"/>
      <c r="K127" s="1531" t="str">
        <f>IF($Q$2=2,"Solde :","Balance :")</f>
        <v>Balance :</v>
      </c>
      <c r="L127" s="1532"/>
      <c r="M127" s="1533"/>
      <c r="N127" s="942"/>
      <c r="P127" s="12"/>
      <c r="Q127" s="1542"/>
      <c r="R127" s="1542"/>
      <c r="S127" s="1542"/>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2">
      <c r="C128" s="1536" t="str">
        <f>IF($Q$2=2,"Plus: Accroissements (Jrnl des revenus)","Plus: Increases (Revenue Jrnl)")</f>
        <v>Plus: Increases (Revenue Jrnl)</v>
      </c>
      <c r="D128" s="1536"/>
      <c r="E128" s="1536"/>
      <c r="F128" s="1536"/>
      <c r="G128" s="1117">
        <f>'Jrnl Rev'!G531</f>
        <v>0</v>
      </c>
      <c r="H128" s="1120"/>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2">
      <c r="C129" s="1536" t="str">
        <f>IF($Q$2=2," Moins: Décroissements (Jrnl des dépenses)","Less: Decreases (Expense Jrnl)")</f>
        <v>Less: Decreases (Expense Jrnl)</v>
      </c>
      <c r="D129" s="1536"/>
      <c r="E129" s="1536"/>
      <c r="F129" s="1536"/>
      <c r="G129" s="1117">
        <f>'Jrnl Exp ~ Dép'!G531</f>
        <v>0</v>
      </c>
      <c r="I129" s="188"/>
      <c r="J129" s="188"/>
      <c r="K129" s="188"/>
      <c r="L129" s="188"/>
      <c r="M129" s="188"/>
      <c r="N129" s="1121"/>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2">
      <c r="C130" s="1538"/>
      <c r="D130" s="1538"/>
      <c r="E130" s="1538"/>
      <c r="F130" s="1538"/>
      <c r="H130" s="1120"/>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25">
      <c r="C131" s="1537" t="str">
        <f>IF($Q$2=2,F126&amp;" Fonds disponible du compte",F126&amp;" Account Available Funds")</f>
        <v>1050 Account Available Funds</v>
      </c>
      <c r="D131" s="1537"/>
      <c r="E131" s="1537"/>
      <c r="F131" s="1537"/>
      <c r="G131" s="1122"/>
      <c r="I131" s="18"/>
      <c r="J131" s="12"/>
      <c r="K131" s="12"/>
      <c r="L131" s="12"/>
      <c r="M131" s="12"/>
      <c r="N131" s="1123"/>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25">
      <c r="C132" s="1539" t="str">
        <f>IF($Q$2=2,"Solde reporté à la ligne "&amp;F126&amp;" du Bilan - page 7","This balance fwrd'd to line "&amp;F126&amp;" of Balance Sheet -  page 7")</f>
        <v>This balance fwrd'd to line 1050 of Balance Sheet -  page 7</v>
      </c>
      <c r="D132" s="1539"/>
      <c r="E132" s="1539"/>
      <c r="F132" s="1539"/>
      <c r="G132" s="1124">
        <f>IF(AND(SUM(G127+G128-G129)&lt;0.001,SUM(G127+G128-G129)&gt;-0.001),0,SUM(G127+G128-G129))</f>
        <v>0</v>
      </c>
      <c r="H132" s="605"/>
      <c r="J132" s="82"/>
      <c r="K132" s="82"/>
      <c r="L132" s="82"/>
      <c r="M132" s="1125"/>
      <c r="N132" s="1124">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25">
      <c r="F133" s="189"/>
      <c r="J133" s="1120"/>
      <c r="M133" s="1126"/>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25">
      <c r="C134" s="1524"/>
      <c r="D134" s="1524"/>
      <c r="E134" s="1524"/>
      <c r="F134" s="1524"/>
      <c r="G134" s="1127">
        <f>IF(AND(G132-N132&lt;0.001,G132-N132&gt;-0.001),0,G132-N132)</f>
        <v>0</v>
      </c>
      <c r="H134" s="1534">
        <f>IF($Q$2=2,IF(G134=0,$T$8,$T$5),IF(G134=0,$T$9,$T$7))</f>
        <v>0</v>
      </c>
      <c r="I134" s="1534"/>
      <c r="J134" s="1534"/>
      <c r="K134" s="1534"/>
      <c r="L134" s="1534"/>
      <c r="M134" s="1534"/>
      <c r="N134" s="1535"/>
      <c r="O134" s="1"/>
      <c r="P134" s="12"/>
      <c r="Q134" s="12"/>
      <c r="R134" s="12"/>
      <c r="S134" s="12"/>
    </row>
    <row r="135" spans="3:62" s="1" customFormat="1" ht="15" customHeight="1" x14ac:dyDescent="0.2">
      <c r="C135" s="1523"/>
      <c r="D135" s="1523"/>
      <c r="E135" s="1523"/>
      <c r="F135" s="1523"/>
      <c r="G135" s="1523"/>
      <c r="H135" s="1523"/>
      <c r="I135" s="1523"/>
      <c r="J135" s="1523"/>
      <c r="K135" s="1523"/>
      <c r="L135" s="1523"/>
      <c r="M135" s="1523"/>
      <c r="N135" s="1523"/>
      <c r="O135" s="1111"/>
      <c r="P135" s="1106"/>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2">
      <c r="C136" s="1525"/>
      <c r="D136" s="1525"/>
      <c r="E136" s="1525"/>
      <c r="F136" s="1525"/>
      <c r="G136" s="1525"/>
      <c r="H136" s="1525"/>
      <c r="I136" s="1525"/>
      <c r="J136" s="1525"/>
      <c r="K136" s="1525"/>
      <c r="L136" s="1525"/>
      <c r="M136" s="1525"/>
      <c r="N136" s="1525"/>
      <c r="O136" s="1111"/>
      <c r="P136" s="1106"/>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2">
      <c r="D137" s="1526" t="str">
        <f>IF($Q$2=2,"Réconciliation détaillée du compte "&amp;F139&amp;" - "&amp;C139,"Detailed Reconciliation of the Account "&amp;F139&amp;" - "&amp;C139)</f>
        <v>Detailed Reconciliation of the Account 1055 - Disponible ~ Available</v>
      </c>
      <c r="E137" s="1526"/>
      <c r="F137" s="1526"/>
      <c r="G137" s="1526"/>
      <c r="H137" s="1526"/>
      <c r="I137" s="1526"/>
      <c r="J137" s="1526"/>
      <c r="K137" s="1526"/>
      <c r="L137" s="1526"/>
      <c r="M137" s="1526"/>
      <c r="N137" s="1113"/>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2">
      <c r="C138" s="1527" t="str">
        <f>IF($Q$2=2,"Réconciliation selon les livres comptables","Reconciliation as per BookKeeping")</f>
        <v>Reconciliation as per BookKeeping</v>
      </c>
      <c r="D138" s="1527"/>
      <c r="E138" s="1527"/>
      <c r="F138" s="1527"/>
      <c r="G138" s="1527"/>
      <c r="I138" s="1527" t="str">
        <f>IF($Q$2=2,"Réconciliation selon l'état de compte","Reconciliation as per Account Statement")</f>
        <v>Reconciliation as per Account Statement</v>
      </c>
      <c r="J138" s="1527"/>
      <c r="K138" s="1527"/>
      <c r="L138" s="1527"/>
      <c r="M138" s="1527"/>
      <c r="N138" s="1114" t="str">
        <f>F139</f>
        <v>1055</v>
      </c>
      <c r="P138" s="188"/>
      <c r="R138" s="188"/>
      <c r="S138" s="188"/>
      <c r="T138" s="12"/>
      <c r="U138" s="1119"/>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25">
      <c r="C139" s="1528" t="str">
        <f>'Set up ~ Config'!G54</f>
        <v>Disponible ~ Available</v>
      </c>
      <c r="D139" s="1528"/>
      <c r="E139" s="1528"/>
      <c r="F139" s="1115" t="str">
        <f>LEFT('Set up ~ Config'!F54,4)</f>
        <v>1055</v>
      </c>
      <c r="G139" s="82"/>
      <c r="I139" s="1529"/>
      <c r="J139" s="1529"/>
      <c r="K139" s="1529"/>
      <c r="L139" s="1529"/>
      <c r="M139" s="1529"/>
      <c r="N139" s="1529"/>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25">
      <c r="C140" s="1530" t="str">
        <f>IF($Q$2=2,"Solde du compte au ","Account Balance on ")</f>
        <v xml:space="preserve">Account Balance on </v>
      </c>
      <c r="D140" s="1530"/>
      <c r="E140" s="1530"/>
      <c r="F140" s="1116">
        <f>DATEVALUE('Set up ~ Config'!$L$5)</f>
        <v>45535</v>
      </c>
      <c r="G140" s="1117">
        <f>'Set up ~ Config'!D54</f>
        <v>0</v>
      </c>
      <c r="I140" s="1118" t="str">
        <f>IF($Q$2=2,"Date (aaaa-mm-jj):","Date (yyyy-mm-dd):")</f>
        <v>Date (yyyy-mm-dd):</v>
      </c>
      <c r="J140" s="957"/>
      <c r="K140" s="1531" t="str">
        <f>IF($Q$2=2,"Solde :","Balance :")</f>
        <v>Balance :</v>
      </c>
      <c r="L140" s="1532"/>
      <c r="M140" s="1533"/>
      <c r="N140" s="942"/>
      <c r="P140" s="12"/>
      <c r="Q140" s="1542"/>
      <c r="R140" s="1542"/>
      <c r="S140" s="1542"/>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2">
      <c r="C141" s="1536" t="str">
        <f>IF($Q$2=2,"Plus: Accroissements (Jrnl des revenus)","Plus: Increases (Revenue Jrnl)")</f>
        <v>Plus: Increases (Revenue Jrnl)</v>
      </c>
      <c r="D141" s="1536"/>
      <c r="E141" s="1536"/>
      <c r="F141" s="1536"/>
      <c r="G141" s="1117">
        <f>'Jrnl Rev'!G532</f>
        <v>0</v>
      </c>
      <c r="H141" s="1120"/>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2">
      <c r="C142" s="1536" t="str">
        <f>IF($Q$2=2," Moins: Décroissements (Jrnl des dépenses)","Less: Decreases (Expense Jrnl)")</f>
        <v>Less: Decreases (Expense Jrnl)</v>
      </c>
      <c r="D142" s="1536"/>
      <c r="E142" s="1536"/>
      <c r="F142" s="1536"/>
      <c r="G142" s="1117">
        <f>'Jrnl Exp ~ Dép'!G532</f>
        <v>0</v>
      </c>
      <c r="I142" s="188"/>
      <c r="J142" s="188"/>
      <c r="K142" s="188"/>
      <c r="L142" s="188"/>
      <c r="M142" s="188"/>
      <c r="N142" s="1121"/>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2">
      <c r="C143" s="1538"/>
      <c r="D143" s="1538"/>
      <c r="E143" s="1538"/>
      <c r="F143" s="1538"/>
      <c r="H143" s="1120"/>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25">
      <c r="C144" s="1537" t="str">
        <f>IF($Q$2=2,F139&amp;" Fonds disponible du compte",F139&amp;" Account Available Funds")</f>
        <v>1055 Account Available Funds</v>
      </c>
      <c r="D144" s="1537"/>
      <c r="E144" s="1537"/>
      <c r="F144" s="1537"/>
      <c r="G144" s="1122"/>
      <c r="I144" s="18"/>
      <c r="J144" s="12"/>
      <c r="K144" s="12"/>
      <c r="L144" s="12"/>
      <c r="M144" s="12"/>
      <c r="N144" s="1123"/>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25">
      <c r="C145" s="1539" t="str">
        <f>IF($Q$2=2,"Solde reporté à la ligne "&amp;F139&amp;" du Bilan - page 7","This balance fwrd'd to line "&amp;F139&amp;" of Balance Sheet -  page 7")</f>
        <v>This balance fwrd'd to line 1055 of Balance Sheet -  page 7</v>
      </c>
      <c r="D145" s="1539"/>
      <c r="E145" s="1539"/>
      <c r="F145" s="1539"/>
      <c r="G145" s="1124">
        <f>IF(AND(SUM(G140+G141-G142)&lt;0.001,SUM(G140+G141-G142)&gt;-0.001),0,SUM(G140+G141-G142))</f>
        <v>0</v>
      </c>
      <c r="H145" s="605"/>
      <c r="J145" s="82"/>
      <c r="K145" s="82"/>
      <c r="L145" s="82"/>
      <c r="M145" s="1125"/>
      <c r="N145" s="1124">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25">
      <c r="F146" s="189"/>
      <c r="J146" s="1120"/>
      <c r="M146" s="1126"/>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25">
      <c r="C147" s="1524"/>
      <c r="D147" s="1524"/>
      <c r="E147" s="1524"/>
      <c r="F147" s="1524"/>
      <c r="G147" s="1127">
        <f>IF(AND(G145-N145&lt;0.001,G145-N145&gt;-0.001),0,G145-N145)</f>
        <v>0</v>
      </c>
      <c r="H147" s="1534">
        <f>IF($Q$2=2,IF(G147=0,$T$8,$T$5),IF(G147=0,$T$9,$T$7))</f>
        <v>0</v>
      </c>
      <c r="I147" s="1534"/>
      <c r="J147" s="1534"/>
      <c r="K147" s="1534"/>
      <c r="L147" s="1534"/>
      <c r="M147" s="1534"/>
      <c r="N147" s="1535"/>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2">
      <c r="C148" s="1523"/>
      <c r="D148" s="1523"/>
      <c r="E148" s="1523"/>
      <c r="F148" s="1523"/>
      <c r="G148" s="1523"/>
      <c r="H148" s="1523"/>
      <c r="I148" s="1523"/>
      <c r="J148" s="1523"/>
      <c r="K148" s="1523"/>
      <c r="L148" s="1523"/>
      <c r="M148" s="1523"/>
      <c r="N148" s="1523"/>
      <c r="O148" s="1111"/>
      <c r="P148" s="1106"/>
      <c r="Q148" s="1"/>
      <c r="R148" s="12"/>
      <c r="S148" s="12"/>
    </row>
    <row r="149" spans="3:62" s="1" customFormat="1" ht="19.5" customHeight="1" x14ac:dyDescent="0.2">
      <c r="C149" s="1525"/>
      <c r="D149" s="1525"/>
      <c r="E149" s="1525"/>
      <c r="F149" s="1525"/>
      <c r="G149" s="1525"/>
      <c r="H149" s="1525"/>
      <c r="I149" s="1525"/>
      <c r="J149" s="1525"/>
      <c r="K149" s="1525"/>
      <c r="L149" s="1525"/>
      <c r="M149" s="1525"/>
      <c r="N149" s="1525"/>
      <c r="O149" s="1111"/>
      <c r="P149" s="1106"/>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2">
      <c r="D150" s="1526" t="str">
        <f>IF($Q$2=2,"Réconciliation détaillée du compte "&amp;F152&amp;" - "&amp;C152,"Detailed Reconciliation of the Account "&amp;F152&amp;" - "&amp;C152)</f>
        <v>Detailed Reconciliation of the Account 1060 - Disponible ~ Available</v>
      </c>
      <c r="E150" s="1526"/>
      <c r="F150" s="1526"/>
      <c r="G150" s="1526"/>
      <c r="H150" s="1526"/>
      <c r="I150" s="1526"/>
      <c r="J150" s="1526"/>
      <c r="K150" s="1526"/>
      <c r="L150" s="1526"/>
      <c r="M150" s="1526"/>
      <c r="N150" s="1113"/>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2">
      <c r="C151" s="1527" t="str">
        <f>IF($Q$2=2,"Réconciliation selon les livres comptables","Reconciliation as per BookKeeping")</f>
        <v>Reconciliation as per BookKeeping</v>
      </c>
      <c r="D151" s="1527"/>
      <c r="E151" s="1527"/>
      <c r="F151" s="1527"/>
      <c r="G151" s="1527"/>
      <c r="I151" s="1527" t="str">
        <f>IF($Q$2=2,"Réconciliation selon l'état de compte","Reconciliation as per Account Statement")</f>
        <v>Reconciliation as per Account Statement</v>
      </c>
      <c r="J151" s="1527"/>
      <c r="K151" s="1527"/>
      <c r="L151" s="1527"/>
      <c r="M151" s="1527"/>
      <c r="N151" s="1114"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25">
      <c r="C152" s="1528" t="str">
        <f>'Set up ~ Config'!G55</f>
        <v>Disponible ~ Available</v>
      </c>
      <c r="D152" s="1528"/>
      <c r="E152" s="1528"/>
      <c r="F152" s="1115" t="str">
        <f>LEFT('Set up ~ Config'!F55,4)</f>
        <v>1060</v>
      </c>
      <c r="G152" s="82"/>
      <c r="I152" s="1529"/>
      <c r="J152" s="1529"/>
      <c r="K152" s="1529"/>
      <c r="L152" s="1529"/>
      <c r="M152" s="1529"/>
      <c r="N152" s="1529"/>
      <c r="P152" s="12"/>
      <c r="R152" s="12"/>
      <c r="S152" s="12"/>
      <c r="T152" s="12"/>
      <c r="U152" s="1119"/>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25">
      <c r="C153" s="1530" t="str">
        <f>IF($Q$2=2,"Solde du compte au ","Account Balance on ")</f>
        <v xml:space="preserve">Account Balance on </v>
      </c>
      <c r="D153" s="1530"/>
      <c r="E153" s="1530"/>
      <c r="F153" s="1116">
        <f>DATEVALUE('Set up ~ Config'!$L$5)</f>
        <v>45535</v>
      </c>
      <c r="G153" s="1117">
        <f>'Set up ~ Config'!D55</f>
        <v>0</v>
      </c>
      <c r="I153" s="1118" t="str">
        <f>IF($Q$2=2,"Date (aaaa-mm-jj):","Date (yyyy-mm-dd):")</f>
        <v>Date (yyyy-mm-dd):</v>
      </c>
      <c r="J153" s="957"/>
      <c r="K153" s="1531" t="str">
        <f>IF($Q$2=2,"Solde :","Balance :")</f>
        <v>Balance :</v>
      </c>
      <c r="L153" s="1532"/>
      <c r="M153" s="1533"/>
      <c r="N153" s="942"/>
      <c r="P153" s="12"/>
      <c r="Q153" s="1542"/>
      <c r="R153" s="1542"/>
      <c r="S153" s="1542"/>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2">
      <c r="C154" s="1536" t="str">
        <f>IF($Q$2=2,"Plus: Accroissements (Jrnl des revenus)","Plus: Increases (Revenue Jrnl)")</f>
        <v>Plus: Increases (Revenue Jrnl)</v>
      </c>
      <c r="D154" s="1536"/>
      <c r="E154" s="1536"/>
      <c r="F154" s="1536"/>
      <c r="G154" s="1117">
        <f>'Jrnl Rev'!G533</f>
        <v>0</v>
      </c>
      <c r="H154" s="1120"/>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2">
      <c r="C155" s="1536" t="str">
        <f>IF($Q$2=2," Moins: Décroissements (Jrnl des dépenses)","Less: Decreases (Expense Jrnl)")</f>
        <v>Less: Decreases (Expense Jrnl)</v>
      </c>
      <c r="D155" s="1536"/>
      <c r="E155" s="1536"/>
      <c r="F155" s="1536"/>
      <c r="G155" s="1117">
        <f>'Jrnl Exp ~ Dép'!G533</f>
        <v>0</v>
      </c>
      <c r="I155" s="188"/>
      <c r="J155" s="188"/>
      <c r="K155" s="188"/>
      <c r="L155" s="188"/>
      <c r="M155" s="188"/>
      <c r="N155" s="1121"/>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2">
      <c r="C156" s="1538"/>
      <c r="D156" s="1538"/>
      <c r="E156" s="1538"/>
      <c r="F156" s="1538"/>
      <c r="H156" s="1120"/>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25">
      <c r="C157" s="1537" t="str">
        <f>IF($Q$2=2,F152&amp;" Fonds disponible du compte",F152&amp;" Account Available Funds")</f>
        <v>1060 Account Available Funds</v>
      </c>
      <c r="D157" s="1537"/>
      <c r="E157" s="1537"/>
      <c r="F157" s="1537"/>
      <c r="G157" s="1122"/>
      <c r="I157" s="18"/>
      <c r="J157" s="12"/>
      <c r="K157" s="12"/>
      <c r="L157" s="12"/>
      <c r="M157" s="12"/>
      <c r="N157" s="1123"/>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25">
      <c r="C158" s="1539" t="str">
        <f>IF($Q$2=2,"Solde reporté à la ligne "&amp;F152&amp;" du Bilan - page 7","This balance fwrd'd to line "&amp;F152&amp;" of Balance Sheet -  page 7")</f>
        <v>This balance fwrd'd to line 1060 of Balance Sheet -  page 7</v>
      </c>
      <c r="D158" s="1539"/>
      <c r="E158" s="1539"/>
      <c r="F158" s="1539"/>
      <c r="G158" s="1124">
        <f>IF(AND(SUM(G153+G154-G155)&lt;0.001,SUM(G153+G154-G155)&gt;-0.001),0,SUM(G153+G154-G155))</f>
        <v>0</v>
      </c>
      <c r="H158" s="605"/>
      <c r="J158" s="82"/>
      <c r="K158" s="82"/>
      <c r="L158" s="82"/>
      <c r="M158" s="1125"/>
      <c r="N158" s="1124">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25">
      <c r="F159" s="189"/>
      <c r="J159" s="1120"/>
      <c r="M159" s="1126"/>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25">
      <c r="C160" s="1524"/>
      <c r="D160" s="1524"/>
      <c r="E160" s="1524"/>
      <c r="F160" s="1524"/>
      <c r="G160" s="1127">
        <f>IF(AND(G158-N158&lt;0.001,G158-N158&gt;-0.001),0,G158-N158)</f>
        <v>0</v>
      </c>
      <c r="H160" s="1534">
        <f>IF($Q$2=2,IF(G160=0,$T$8,$T$5),IF(G160=0,$T$9,$T$7))</f>
        <v>0</v>
      </c>
      <c r="I160" s="1534"/>
      <c r="J160" s="1534"/>
      <c r="K160" s="1534"/>
      <c r="L160" s="1534"/>
      <c r="M160" s="1534"/>
      <c r="N160" s="1535"/>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2">
      <c r="C161" s="1523"/>
      <c r="D161" s="1523"/>
      <c r="E161" s="1523"/>
      <c r="F161" s="1523"/>
      <c r="G161" s="1523"/>
      <c r="H161" s="1523"/>
      <c r="I161" s="1523"/>
      <c r="J161" s="1523"/>
      <c r="K161" s="1523"/>
      <c r="L161" s="1523"/>
      <c r="M161" s="1523"/>
      <c r="N161" s="1523"/>
      <c r="O161" s="1111"/>
      <c r="P161" s="1106"/>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2">
      <c r="C162" s="1525"/>
      <c r="D162" s="1525"/>
      <c r="E162" s="1525"/>
      <c r="F162" s="1525"/>
      <c r="G162" s="1525"/>
      <c r="H162" s="1525"/>
      <c r="I162" s="1525"/>
      <c r="J162" s="1525"/>
      <c r="K162" s="1525"/>
      <c r="L162" s="1525"/>
      <c r="M162" s="1525"/>
      <c r="N162" s="1525"/>
      <c r="O162" s="1111"/>
      <c r="P162" s="1106"/>
      <c r="Q162" s="1"/>
      <c r="R162" s="12"/>
      <c r="S162" s="12"/>
    </row>
    <row r="163" spans="3:62" s="1" customFormat="1" ht="40.5" customHeight="1" x14ac:dyDescent="0.2">
      <c r="D163" s="1526" t="str">
        <f>IF($Q$2=2,"Réconciliation détaillée du compte "&amp;F165&amp;" - "&amp;C165,"Detailed Reconciliation of the Account "&amp;F165&amp;" - "&amp;C165)</f>
        <v>Detailed Reconciliation of the Account 1065 - Disponible ~ Available</v>
      </c>
      <c r="E163" s="1526"/>
      <c r="F163" s="1526"/>
      <c r="G163" s="1526"/>
      <c r="H163" s="1526"/>
      <c r="I163" s="1526"/>
      <c r="J163" s="1526"/>
      <c r="K163" s="1526"/>
      <c r="L163" s="1526"/>
      <c r="M163" s="1526"/>
      <c r="N163" s="1113"/>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2">
      <c r="C164" s="1527" t="str">
        <f>IF($Q$2=2,"Réconciliation selon les livres comptables","Reconciliation as per BookKeeping")</f>
        <v>Reconciliation as per BookKeeping</v>
      </c>
      <c r="D164" s="1527"/>
      <c r="E164" s="1527"/>
      <c r="F164" s="1527"/>
      <c r="G164" s="1527"/>
      <c r="I164" s="1527" t="str">
        <f>IF($Q$2=2,"Réconciliation selon l'état de compte","Reconciliation as per Account Statement")</f>
        <v>Reconciliation as per Account Statement</v>
      </c>
      <c r="J164" s="1527"/>
      <c r="K164" s="1527"/>
      <c r="L164" s="1527"/>
      <c r="M164" s="1527"/>
      <c r="N164" s="1114"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25">
      <c r="C165" s="1528" t="str">
        <f>'Set up ~ Config'!G56</f>
        <v>Disponible ~ Available</v>
      </c>
      <c r="D165" s="1528"/>
      <c r="E165" s="1528"/>
      <c r="F165" s="1115" t="str">
        <f>LEFT('Set up ~ Config'!F56,4)</f>
        <v>1065</v>
      </c>
      <c r="G165" s="82"/>
      <c r="I165" s="1529"/>
      <c r="J165" s="1529"/>
      <c r="K165" s="1529"/>
      <c r="L165" s="1529"/>
      <c r="M165" s="1529"/>
      <c r="N165" s="1529"/>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25">
      <c r="C166" s="1530" t="str">
        <f>IF($Q$2=2,"Solde du compte au ","Account Balance on ")</f>
        <v xml:space="preserve">Account Balance on </v>
      </c>
      <c r="D166" s="1530"/>
      <c r="E166" s="1530"/>
      <c r="F166" s="1116">
        <f>DATEVALUE('Set up ~ Config'!$L$5)</f>
        <v>45535</v>
      </c>
      <c r="G166" s="1117">
        <f>'Set up ~ Config'!D56</f>
        <v>0</v>
      </c>
      <c r="I166" s="1118" t="str">
        <f>IF($Q$2=2,"Date (aaaa-mm-jj):","Date (yyyy-mm-dd):")</f>
        <v>Date (yyyy-mm-dd):</v>
      </c>
      <c r="J166" s="957"/>
      <c r="K166" s="1531" t="str">
        <f>IF($Q$2=2,"Solde :","Balance :")</f>
        <v>Balance :</v>
      </c>
      <c r="L166" s="1532"/>
      <c r="M166" s="1533"/>
      <c r="N166" s="942"/>
      <c r="P166" s="12"/>
      <c r="Q166" s="1542"/>
      <c r="R166" s="1542"/>
      <c r="S166" s="1542"/>
      <c r="T166" s="12"/>
      <c r="U166" s="1119"/>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2">
      <c r="C167" s="1536" t="str">
        <f>IF($Q$2=2,"Plus: Accroissements (Jrnl des revenus)","Plus: Increases (Revenue Jrnl)")</f>
        <v>Plus: Increases (Revenue Jrnl)</v>
      </c>
      <c r="D167" s="1536"/>
      <c r="E167" s="1536"/>
      <c r="F167" s="1536"/>
      <c r="G167" s="1117">
        <f>'Jrnl Rev'!G534</f>
        <v>0</v>
      </c>
      <c r="H167" s="1120"/>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2">
      <c r="C168" s="1536" t="str">
        <f>IF($Q$2=2," Moins: Décroissements (Jrnl des dépenses)","Less: Decreases (Expense Jrnl)")</f>
        <v>Less: Decreases (Expense Jrnl)</v>
      </c>
      <c r="D168" s="1536"/>
      <c r="E168" s="1536"/>
      <c r="F168" s="1536"/>
      <c r="G168" s="1117">
        <f>'Jrnl Exp ~ Dép'!G534</f>
        <v>0</v>
      </c>
      <c r="I168" s="188"/>
      <c r="J168" s="188"/>
      <c r="K168" s="188"/>
      <c r="L168" s="188"/>
      <c r="M168" s="188"/>
      <c r="N168" s="1121"/>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2">
      <c r="C169" s="1538"/>
      <c r="D169" s="1538"/>
      <c r="E169" s="1538"/>
      <c r="F169" s="1538"/>
      <c r="H169" s="1120"/>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25">
      <c r="C170" s="1537" t="str">
        <f>IF($Q$2=2,F165&amp;" Fonds disponible du compte",F165&amp;" Account Available Funds")</f>
        <v>1065 Account Available Funds</v>
      </c>
      <c r="D170" s="1537"/>
      <c r="E170" s="1537"/>
      <c r="F170" s="1537"/>
      <c r="G170" s="1122"/>
      <c r="I170" s="18"/>
      <c r="J170" s="12"/>
      <c r="K170" s="12"/>
      <c r="L170" s="12"/>
      <c r="M170" s="12"/>
      <c r="N170" s="1123"/>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25">
      <c r="C171" s="1539" t="str">
        <f>IF($Q$2=2,"Solde reporté à la ligne "&amp;F165&amp;" du Bilan - page 7","This balance fwrd'd to line "&amp;F165&amp;" of Balance Sheet -  page 7")</f>
        <v>This balance fwrd'd to line 1065 of Balance Sheet -  page 7</v>
      </c>
      <c r="D171" s="1539"/>
      <c r="E171" s="1539"/>
      <c r="F171" s="1539"/>
      <c r="G171" s="1124">
        <f>IF(AND(SUM(G166+G167-G168)&lt;0.001,SUM(G166+G167-G168)&gt;-0.001),0,SUM(G166+G167-G168))</f>
        <v>0</v>
      </c>
      <c r="H171" s="605"/>
      <c r="J171" s="82"/>
      <c r="K171" s="82"/>
      <c r="L171" s="82"/>
      <c r="M171" s="1125"/>
      <c r="N171" s="1124">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25">
      <c r="F172" s="189"/>
      <c r="J172" s="1120"/>
      <c r="M172" s="1126"/>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25">
      <c r="C173" s="1524"/>
      <c r="D173" s="1524"/>
      <c r="E173" s="1524"/>
      <c r="F173" s="1524"/>
      <c r="G173" s="1127">
        <f>IF(AND(G171-N171&lt;0.001,G171-N171&gt;-0.001),0,G171-N171)</f>
        <v>0</v>
      </c>
      <c r="H173" s="1534">
        <f>IF($Q$2=2,IF(G173=0,$T$8,$T$5),IF(G173=0,$T$9,$T$7))</f>
        <v>0</v>
      </c>
      <c r="I173" s="1534"/>
      <c r="J173" s="1534"/>
      <c r="K173" s="1534"/>
      <c r="L173" s="1534"/>
      <c r="M173" s="1534"/>
      <c r="N173" s="1535"/>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2">
      <c r="C174" s="1523"/>
      <c r="D174" s="1523"/>
      <c r="E174" s="1523"/>
      <c r="F174" s="1523"/>
      <c r="G174" s="1523"/>
      <c r="H174" s="1523"/>
      <c r="I174" s="1523"/>
      <c r="J174" s="1523"/>
      <c r="K174" s="1523"/>
      <c r="L174" s="1523"/>
      <c r="M174" s="1523"/>
      <c r="N174" s="1523"/>
      <c r="O174" s="1111"/>
      <c r="P174" s="1106"/>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2">
      <c r="C175" s="1525"/>
      <c r="D175" s="1525"/>
      <c r="E175" s="1525"/>
      <c r="F175" s="1525"/>
      <c r="G175" s="1525"/>
      <c r="H175" s="1525"/>
      <c r="I175" s="1525"/>
      <c r="J175" s="1525"/>
      <c r="K175" s="1525"/>
      <c r="L175" s="1525"/>
      <c r="M175" s="1525"/>
      <c r="N175" s="1525"/>
      <c r="O175" s="1111"/>
      <c r="P175" s="1106"/>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2">
      <c r="C176" s="1"/>
      <c r="D176" s="1526" t="str">
        <f>IF($Q$2=2,"Réconciliation détaillée du compte "&amp;F178&amp;" - "&amp;C178,"Detailed Reconciliation of the Account "&amp;F178&amp;" - "&amp;C178)</f>
        <v>Detailed Reconciliation of the Account 1070 - Disponible ~ Available</v>
      </c>
      <c r="E176" s="1526"/>
      <c r="F176" s="1526"/>
      <c r="G176" s="1526"/>
      <c r="H176" s="1526"/>
      <c r="I176" s="1526"/>
      <c r="J176" s="1526"/>
      <c r="K176" s="1526"/>
      <c r="L176" s="1526"/>
      <c r="M176" s="1526"/>
      <c r="N176" s="1113"/>
      <c r="O176" s="1"/>
      <c r="P176" s="12"/>
      <c r="Q176" s="1"/>
      <c r="R176" s="12"/>
      <c r="S176" s="12"/>
    </row>
    <row r="177" spans="3:62" s="1" customFormat="1" ht="29.25" customHeight="1" x14ac:dyDescent="0.2">
      <c r="C177" s="1527" t="str">
        <f>IF($Q$2=2,"Réconciliation selon les livres comptables","Reconciliation as per BookKeeping")</f>
        <v>Reconciliation as per BookKeeping</v>
      </c>
      <c r="D177" s="1527"/>
      <c r="E177" s="1527"/>
      <c r="F177" s="1527"/>
      <c r="G177" s="1527"/>
      <c r="I177" s="1527" t="str">
        <f>IF($Q$2=2,"Réconciliation selon l'état de compte","Reconciliation as per Account Statement")</f>
        <v>Reconciliation as per Account Statement</v>
      </c>
      <c r="J177" s="1527"/>
      <c r="K177" s="1527"/>
      <c r="L177" s="1527"/>
      <c r="M177" s="1527"/>
      <c r="N177" s="1114"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25">
      <c r="C178" s="1528" t="str">
        <f>'Set up ~ Config'!G57</f>
        <v>Disponible ~ Available</v>
      </c>
      <c r="D178" s="1528"/>
      <c r="E178" s="1528"/>
      <c r="F178" s="1115" t="str">
        <f>LEFT('Set up ~ Config'!F57,4)</f>
        <v>1070</v>
      </c>
      <c r="G178" s="82"/>
      <c r="I178" s="1529"/>
      <c r="J178" s="1529"/>
      <c r="K178" s="1529"/>
      <c r="L178" s="1529"/>
      <c r="M178" s="1529"/>
      <c r="N178" s="1529"/>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25">
      <c r="C179" s="1530" t="str">
        <f>IF($Q$2=2,"Solde du compte au ","Account Balance on ")</f>
        <v xml:space="preserve">Account Balance on </v>
      </c>
      <c r="D179" s="1530"/>
      <c r="E179" s="1530"/>
      <c r="F179" s="1116">
        <f>DATEVALUE('Set up ~ Config'!$L$5)</f>
        <v>45535</v>
      </c>
      <c r="G179" s="1117">
        <f>'Set up ~ Config'!D57</f>
        <v>0</v>
      </c>
      <c r="I179" s="1118" t="str">
        <f>IF($Q$2=2,"Date (aaaa-mm-jj):","Date (yyyy-mm-dd):")</f>
        <v>Date (yyyy-mm-dd):</v>
      </c>
      <c r="J179" s="957"/>
      <c r="K179" s="1531" t="str">
        <f>IF($Q$2=2,"Solde :","Balance :")</f>
        <v>Balance :</v>
      </c>
      <c r="L179" s="1532"/>
      <c r="M179" s="1533"/>
      <c r="N179" s="942"/>
      <c r="P179" s="12"/>
      <c r="Q179" s="1542"/>
      <c r="R179" s="1542"/>
      <c r="S179" s="1542"/>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2">
      <c r="C180" s="1536" t="str">
        <f>IF($Q$2=2,"Plus: Accroissements (Jrnl des revenus)","Plus: Increases (Revenue Jrnl)")</f>
        <v>Plus: Increases (Revenue Jrnl)</v>
      </c>
      <c r="D180" s="1536"/>
      <c r="E180" s="1536"/>
      <c r="F180" s="1536"/>
      <c r="G180" s="1117">
        <f>'Jrnl Rev'!G535</f>
        <v>0</v>
      </c>
      <c r="H180" s="1120"/>
      <c r="P180" s="12"/>
      <c r="Q180" s="12"/>
      <c r="R180" s="12"/>
      <c r="S180" s="12"/>
      <c r="T180" s="12"/>
      <c r="U180" s="1119"/>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2">
      <c r="C181" s="1536" t="str">
        <f>IF($Q$2=2," Moins: Décroissements (Jrnl des dépenses)","Less: Decreases (Expense Jrnl)")</f>
        <v>Less: Decreases (Expense Jrnl)</v>
      </c>
      <c r="D181" s="1536"/>
      <c r="E181" s="1536"/>
      <c r="F181" s="1536"/>
      <c r="G181" s="1117">
        <f>'Jrnl Exp ~ Dép'!G535</f>
        <v>0</v>
      </c>
      <c r="I181" s="188"/>
      <c r="J181" s="188"/>
      <c r="K181" s="188"/>
      <c r="L181" s="188"/>
      <c r="M181" s="188"/>
      <c r="N181" s="1121"/>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2">
      <c r="C182" s="1538"/>
      <c r="D182" s="1538"/>
      <c r="E182" s="1538"/>
      <c r="F182" s="1538"/>
      <c r="H182" s="1120"/>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25">
      <c r="C183" s="1537" t="str">
        <f>IF($Q$2=2,F178&amp;" Fonds disponible du compte",F178&amp;" Account Available Funds")</f>
        <v>1070 Account Available Funds</v>
      </c>
      <c r="D183" s="1537"/>
      <c r="E183" s="1537"/>
      <c r="F183" s="1537"/>
      <c r="G183" s="1122"/>
      <c r="I183" s="18"/>
      <c r="J183" s="12"/>
      <c r="K183" s="12"/>
      <c r="L183" s="12"/>
      <c r="M183" s="12"/>
      <c r="N183" s="1123"/>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25">
      <c r="C184" s="1539" t="str">
        <f>IF($Q$2=2,"Solde reporté à la ligne "&amp;F178&amp;" du Bilan - page 7","This balance fwrd'd to line "&amp;F178&amp;" of Balance Sheet -  page 7")</f>
        <v>This balance fwrd'd to line 1070 of Balance Sheet -  page 7</v>
      </c>
      <c r="D184" s="1539"/>
      <c r="E184" s="1539"/>
      <c r="F184" s="1539"/>
      <c r="G184" s="1124">
        <f>IF(AND(SUM(G179+G180-G181)&lt;0.001,SUM(G179+G180-G181)&gt;-0.001),0,SUM(G179+G180-G181))</f>
        <v>0</v>
      </c>
      <c r="H184" s="605"/>
      <c r="J184" s="82"/>
      <c r="K184" s="82"/>
      <c r="L184" s="82"/>
      <c r="M184" s="1125"/>
      <c r="N184" s="1124">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25">
      <c r="F185" s="189"/>
      <c r="J185" s="1120"/>
      <c r="M185" s="1126"/>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25">
      <c r="C186" s="1524"/>
      <c r="D186" s="1524"/>
      <c r="E186" s="1524"/>
      <c r="F186" s="1524"/>
      <c r="G186" s="1127">
        <f>IF(AND(G184-N184&lt;0.001,G184-N184&gt;-0.001),0,G184-N184)</f>
        <v>0</v>
      </c>
      <c r="H186" s="1534">
        <f>IF($Q$2=2,IF(G186=0,$T$8,$T$5),IF(G186=0,$T$9,$T$7))</f>
        <v>0</v>
      </c>
      <c r="I186" s="1534"/>
      <c r="J186" s="1534"/>
      <c r="K186" s="1534"/>
      <c r="L186" s="1534"/>
      <c r="M186" s="1534"/>
      <c r="N186" s="1535"/>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2">
      <c r="C187" s="1523"/>
      <c r="D187" s="1523"/>
      <c r="E187" s="1523"/>
      <c r="F187" s="1523"/>
      <c r="G187" s="1523"/>
      <c r="H187" s="1523"/>
      <c r="I187" s="1523"/>
      <c r="J187" s="1523"/>
      <c r="K187" s="1523"/>
      <c r="L187" s="1523"/>
      <c r="M187" s="1523"/>
      <c r="N187" s="1523"/>
      <c r="O187" s="1111"/>
      <c r="P187" s="1106"/>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2">
      <c r="C188" s="1525"/>
      <c r="D188" s="1525"/>
      <c r="E188" s="1525"/>
      <c r="F188" s="1525"/>
      <c r="G188" s="1525"/>
      <c r="H188" s="1525"/>
      <c r="I188" s="1525"/>
      <c r="J188" s="1525"/>
      <c r="K188" s="1525"/>
      <c r="L188" s="1525"/>
      <c r="M188" s="1525"/>
      <c r="N188" s="1525"/>
      <c r="O188" s="1111"/>
      <c r="P188" s="1106"/>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2">
      <c r="D189" s="1526" t="str">
        <f>IF($Q$2=2,"Réconciliation détaillée du compte "&amp;F191&amp;" - "&amp;C191,"Detailed Reconciliation of the Account "&amp;F191&amp;" - "&amp;C191)</f>
        <v>Detailed Reconciliation of the Account 1075 - Disponible ~ Available</v>
      </c>
      <c r="E189" s="1526"/>
      <c r="F189" s="1526"/>
      <c r="G189" s="1526"/>
      <c r="H189" s="1526"/>
      <c r="I189" s="1526"/>
      <c r="J189" s="1526"/>
      <c r="K189" s="1526"/>
      <c r="L189" s="1526"/>
      <c r="M189" s="1526"/>
      <c r="N189" s="1113"/>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2">
      <c r="C190" s="1527" t="str">
        <f>IF($Q$2=2,"Réconciliation selon les livres comptables","Reconciliation as per BookKeeping")</f>
        <v>Reconciliation as per BookKeeping</v>
      </c>
      <c r="D190" s="1527"/>
      <c r="E190" s="1527"/>
      <c r="F190" s="1527"/>
      <c r="G190" s="1527"/>
      <c r="H190" s="1"/>
      <c r="I190" s="1527" t="str">
        <f>IF($Q$2=2,"Réconciliation selon l'état de compte","Reconciliation as per Account Statement")</f>
        <v>Reconciliation as per Account Statement</v>
      </c>
      <c r="J190" s="1527"/>
      <c r="K190" s="1527"/>
      <c r="L190" s="1527"/>
      <c r="M190" s="1527"/>
      <c r="N190" s="1114" t="str">
        <f>F191</f>
        <v>1075</v>
      </c>
      <c r="O190" s="1"/>
      <c r="P190" s="188"/>
      <c r="Q190" s="1"/>
      <c r="R190" s="188"/>
      <c r="S190" s="188"/>
    </row>
    <row r="191" spans="3:62" s="1" customFormat="1" ht="25.5" customHeight="1" thickBot="1" x14ac:dyDescent="0.25">
      <c r="C191" s="1528" t="str">
        <f>'Set up ~ Config'!G58</f>
        <v>Disponible ~ Available</v>
      </c>
      <c r="D191" s="1528"/>
      <c r="E191" s="1528"/>
      <c r="F191" s="1115" t="str">
        <f>LEFT('Set up ~ Config'!F58,4)</f>
        <v>1075</v>
      </c>
      <c r="G191" s="82"/>
      <c r="I191" s="1529"/>
      <c r="J191" s="1529"/>
      <c r="K191" s="1529"/>
      <c r="L191" s="1529"/>
      <c r="M191" s="1529"/>
      <c r="N191" s="1529"/>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25">
      <c r="C192" s="1530" t="str">
        <f>IF($Q$2=2,"Solde du compte au ","Account Balance on ")</f>
        <v xml:space="preserve">Account Balance on </v>
      </c>
      <c r="D192" s="1530"/>
      <c r="E192" s="1530"/>
      <c r="F192" s="1116">
        <f>DATEVALUE('Set up ~ Config'!$L$5)</f>
        <v>45535</v>
      </c>
      <c r="G192" s="1117">
        <f>'Set up ~ Config'!D58</f>
        <v>0</v>
      </c>
      <c r="I192" s="1118" t="str">
        <f>IF($Q$2=2,"Date (aaaa-mm-jj):","Date (yyyy-mm-dd):")</f>
        <v>Date (yyyy-mm-dd):</v>
      </c>
      <c r="J192" s="957"/>
      <c r="K192" s="1531" t="str">
        <f>IF($Q$2=2,"Solde :","Balance :")</f>
        <v>Balance :</v>
      </c>
      <c r="L192" s="1532"/>
      <c r="M192" s="1533"/>
      <c r="N192" s="942"/>
      <c r="P192" s="12"/>
      <c r="Q192" s="1542"/>
      <c r="R192" s="1542"/>
      <c r="S192" s="1542"/>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2">
      <c r="C193" s="1536" t="str">
        <f>IF($Q$2=2,"Plus: Accroissements (Jrnl des revenus)","Plus: Increases (Revenue Jrnl)")</f>
        <v>Plus: Increases (Revenue Jrnl)</v>
      </c>
      <c r="D193" s="1536"/>
      <c r="E193" s="1536"/>
      <c r="F193" s="1536"/>
      <c r="G193" s="1117">
        <f>'Jrnl Rev'!G536</f>
        <v>0</v>
      </c>
      <c r="H193" s="1120"/>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2">
      <c r="C194" s="1536" t="str">
        <f>IF($Q$2=2," Moins: Décroissements (Jrnl des dépenses)","Less: Decreases (Expense Jrnl)")</f>
        <v>Less: Decreases (Expense Jrnl)</v>
      </c>
      <c r="D194" s="1536"/>
      <c r="E194" s="1536"/>
      <c r="F194" s="1536"/>
      <c r="G194" s="1117">
        <f>'Jrnl Exp ~ Dép'!G536</f>
        <v>0</v>
      </c>
      <c r="I194" s="188"/>
      <c r="J194" s="188"/>
      <c r="K194" s="188"/>
      <c r="L194" s="188"/>
      <c r="M194" s="188"/>
      <c r="N194" s="1121"/>
      <c r="P194" s="12"/>
      <c r="Q194" s="12"/>
      <c r="R194" s="12"/>
      <c r="S194" s="12"/>
      <c r="T194" s="12"/>
      <c r="U194" s="1119"/>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2">
      <c r="C195" s="1538"/>
      <c r="D195" s="1538"/>
      <c r="E195" s="1538"/>
      <c r="F195" s="1538"/>
      <c r="H195" s="1120"/>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25">
      <c r="C196" s="1537" t="str">
        <f>IF($Q$2=2,F191&amp;" Fonds disponible du compte",F191&amp;" Account Available Funds")</f>
        <v>1075 Account Available Funds</v>
      </c>
      <c r="D196" s="1537"/>
      <c r="E196" s="1537"/>
      <c r="F196" s="1537"/>
      <c r="G196" s="1122"/>
      <c r="I196" s="18"/>
      <c r="J196" s="12"/>
      <c r="K196" s="12"/>
      <c r="L196" s="12"/>
      <c r="M196" s="12"/>
      <c r="N196" s="1123"/>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25">
      <c r="C197" s="1539" t="str">
        <f>IF($Q$2=2,"Solde reporté à la ligne "&amp;F191&amp;" du Bilan - page 7","This balance fwrd'd to line "&amp;F191&amp;" of Balance Sheet -  page 7")</f>
        <v>This balance fwrd'd to line 1075 of Balance Sheet -  page 7</v>
      </c>
      <c r="D197" s="1539"/>
      <c r="E197" s="1539"/>
      <c r="F197" s="1539"/>
      <c r="G197" s="1124">
        <f>IF(AND(SUM(G192+G193-G194)&lt;0.001,SUM(G192+G193-G194)&gt;-0.001),0,SUM(G192+G193-G194))</f>
        <v>0</v>
      </c>
      <c r="H197" s="605"/>
      <c r="J197" s="82"/>
      <c r="K197" s="82"/>
      <c r="L197" s="82"/>
      <c r="M197" s="1125"/>
      <c r="N197" s="1124">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25">
      <c r="F198" s="189"/>
      <c r="J198" s="1120"/>
      <c r="M198" s="1126"/>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25">
      <c r="C199" s="1524"/>
      <c r="D199" s="1524"/>
      <c r="E199" s="1524"/>
      <c r="F199" s="1524"/>
      <c r="G199" s="1127">
        <f>IF(AND(G197-N197&lt;0.001,G197-N197&gt;-0.001),0,G197-N197)</f>
        <v>0</v>
      </c>
      <c r="H199" s="1534">
        <f>IF($Q$2=2,IF(G199=0,$T$8,$T$5),IF(G199=0,$T$9,$T$7))</f>
        <v>0</v>
      </c>
      <c r="I199" s="1534"/>
      <c r="J199" s="1534"/>
      <c r="K199" s="1534"/>
      <c r="L199" s="1534"/>
      <c r="M199" s="1534"/>
      <c r="N199" s="1535"/>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2">
      <c r="C200" s="1523"/>
      <c r="D200" s="1523"/>
      <c r="E200" s="1523"/>
      <c r="F200" s="1523"/>
      <c r="G200" s="1523"/>
      <c r="H200" s="1523"/>
      <c r="I200" s="1523"/>
      <c r="J200" s="1523"/>
      <c r="K200" s="1523"/>
      <c r="L200" s="1523"/>
      <c r="M200" s="1523"/>
      <c r="N200" s="1523"/>
      <c r="O200" s="1111"/>
      <c r="P200" s="1106"/>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2">
      <c r="C201" s="1525"/>
      <c r="D201" s="1525"/>
      <c r="E201" s="1525"/>
      <c r="F201" s="1525"/>
      <c r="G201" s="1525"/>
      <c r="H201" s="1525"/>
      <c r="I201" s="1525"/>
      <c r="J201" s="1525"/>
      <c r="K201" s="1525"/>
      <c r="L201" s="1525"/>
      <c r="M201" s="1525"/>
      <c r="N201" s="1525"/>
      <c r="O201" s="1111"/>
      <c r="P201" s="1106"/>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2">
      <c r="D202" s="1526" t="str">
        <f>IF($Q$2=2,"Réconciliation détaillée du compte "&amp;F204&amp;" - "&amp;C204,"Detailed Reconciliation of the Account "&amp;F204&amp;" - "&amp;C204)</f>
        <v>Detailed Reconciliation of the Account 1080 - Disponible ~ Available</v>
      </c>
      <c r="E202" s="1526"/>
      <c r="F202" s="1526"/>
      <c r="G202" s="1526"/>
      <c r="H202" s="1526"/>
      <c r="I202" s="1526"/>
      <c r="J202" s="1526"/>
      <c r="K202" s="1526"/>
      <c r="L202" s="1526"/>
      <c r="M202" s="1526"/>
      <c r="N202" s="1113"/>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2">
      <c r="C203" s="1527" t="str">
        <f>IF($Q$2=2,"Réconciliation selon les livres comptables","Reconciliation as per BookKeeping")</f>
        <v>Reconciliation as per BookKeeping</v>
      </c>
      <c r="D203" s="1527"/>
      <c r="E203" s="1527"/>
      <c r="F203" s="1527"/>
      <c r="G203" s="1527"/>
      <c r="I203" s="1527" t="str">
        <f>IF($Q$2=2,"Réconciliation selon l'état de compte","Reconciliation as per Account Statement")</f>
        <v>Reconciliation as per Account Statement</v>
      </c>
      <c r="J203" s="1527"/>
      <c r="K203" s="1527"/>
      <c r="L203" s="1527"/>
      <c r="M203" s="1527"/>
      <c r="N203" s="1114"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25">
      <c r="C204" s="1528" t="str">
        <f>'Set up ~ Config'!G59</f>
        <v>Disponible ~ Available</v>
      </c>
      <c r="D204" s="1528"/>
      <c r="E204" s="1528"/>
      <c r="F204" s="1115" t="str">
        <f>LEFT('Set up ~ Config'!F59,4)</f>
        <v>1080</v>
      </c>
      <c r="G204" s="82"/>
      <c r="H204" s="1"/>
      <c r="I204" s="1529"/>
      <c r="J204" s="1529"/>
      <c r="K204" s="1529"/>
      <c r="L204" s="1529"/>
      <c r="M204" s="1529"/>
      <c r="N204" s="1529"/>
      <c r="O204" s="1"/>
      <c r="P204" s="12"/>
      <c r="Q204" s="1"/>
      <c r="R204" s="12"/>
      <c r="S204" s="12"/>
    </row>
    <row r="205" spans="3:62" s="1" customFormat="1" ht="25.5" customHeight="1" thickTop="1" thickBot="1" x14ac:dyDescent="0.25">
      <c r="C205" s="1530" t="str">
        <f>IF($Q$2=2,"Solde du compte au ","Account Balance on ")</f>
        <v xml:space="preserve">Account Balance on </v>
      </c>
      <c r="D205" s="1530"/>
      <c r="E205" s="1530"/>
      <c r="F205" s="1116">
        <f>DATEVALUE('Set up ~ Config'!$L$5)</f>
        <v>45535</v>
      </c>
      <c r="G205" s="1117">
        <f>'Set up ~ Config'!D59</f>
        <v>0</v>
      </c>
      <c r="I205" s="1118" t="str">
        <f>IF($Q$2=2,"Date (aaaa-mm-jj):","Date (yyyy-mm-dd):")</f>
        <v>Date (yyyy-mm-dd):</v>
      </c>
      <c r="J205" s="957"/>
      <c r="K205" s="1531" t="str">
        <f>IF($Q$2=2,"Solde :","Balance :")</f>
        <v>Balance :</v>
      </c>
      <c r="L205" s="1532"/>
      <c r="M205" s="1533"/>
      <c r="N205" s="942"/>
      <c r="P205" s="12"/>
      <c r="Q205" s="1542"/>
      <c r="R205" s="1542"/>
      <c r="S205" s="1542"/>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2">
      <c r="C206" s="1536" t="str">
        <f>IF($Q$2=2,"Plus: Accroissements (Jrnl des revenus)","Plus: Increases (Revenue Jrnl)")</f>
        <v>Plus: Increases (Revenue Jrnl)</v>
      </c>
      <c r="D206" s="1536"/>
      <c r="E206" s="1536"/>
      <c r="F206" s="1536"/>
      <c r="G206" s="1117">
        <f>'Jrnl Rev'!G537</f>
        <v>0</v>
      </c>
      <c r="H206" s="1120"/>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2">
      <c r="C207" s="1536" t="str">
        <f>IF($Q$2=2," Moins: Décroissements (Jrnl des dépenses)","Less: Decreases (Expense Jrnl)")</f>
        <v>Less: Decreases (Expense Jrnl)</v>
      </c>
      <c r="D207" s="1536"/>
      <c r="E207" s="1536"/>
      <c r="F207" s="1536"/>
      <c r="G207" s="1117">
        <f>'Jrnl Exp ~ Dép'!G537</f>
        <v>0</v>
      </c>
      <c r="I207" s="188"/>
      <c r="J207" s="188"/>
      <c r="K207" s="188"/>
      <c r="L207" s="188"/>
      <c r="M207" s="188"/>
      <c r="N207" s="1121"/>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2">
      <c r="C208" s="1538"/>
      <c r="D208" s="1538"/>
      <c r="E208" s="1538"/>
      <c r="F208" s="1538"/>
      <c r="H208" s="1120"/>
      <c r="P208" s="12"/>
      <c r="Q208" s="12"/>
      <c r="R208" s="12"/>
      <c r="S208" s="12"/>
      <c r="T208" s="12"/>
      <c r="U208" s="1119"/>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25">
      <c r="C209" s="1537" t="str">
        <f>IF($Q$2=2,F204&amp;" Fonds disponible du compte",F204&amp;" Account Available Funds")</f>
        <v>1080 Account Available Funds</v>
      </c>
      <c r="D209" s="1537"/>
      <c r="E209" s="1537"/>
      <c r="F209" s="1537"/>
      <c r="G209" s="1122"/>
      <c r="I209" s="18"/>
      <c r="J209" s="12"/>
      <c r="K209" s="12"/>
      <c r="L209" s="12"/>
      <c r="M209" s="12"/>
      <c r="N209" s="1123"/>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25">
      <c r="C210" s="1539" t="str">
        <f>IF($Q$2=2,"Solde reporté à la ligne "&amp;F204&amp;" du Bilan - page 7","This balance fwrd'd to line "&amp;F204&amp;" of Balance Sheet -  page 7")</f>
        <v>This balance fwrd'd to line 1080 of Balance Sheet -  page 7</v>
      </c>
      <c r="D210" s="1539"/>
      <c r="E210" s="1539"/>
      <c r="F210" s="1539"/>
      <c r="G210" s="1124">
        <f>IF(AND(SUM(G205+G206-G207)&lt;0.001,SUM(G205+G206-G207)&gt;-0.001),0,SUM(G205+G206-G207))</f>
        <v>0</v>
      </c>
      <c r="H210" s="605"/>
      <c r="J210" s="82"/>
      <c r="K210" s="82"/>
      <c r="L210" s="82"/>
      <c r="M210" s="1125"/>
      <c r="N210" s="1124">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25">
      <c r="F211" s="189"/>
      <c r="J211" s="1120"/>
      <c r="M211" s="1126"/>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25">
      <c r="C212" s="1524"/>
      <c r="D212" s="1524"/>
      <c r="E212" s="1524"/>
      <c r="F212" s="1524"/>
      <c r="G212" s="1127">
        <f>IF(AND(G210-N210&lt;0.001,G210-N210&gt;-0.001),0,G210-N210)</f>
        <v>0</v>
      </c>
      <c r="H212" s="1534">
        <f>IF($Q$2=2,IF(G212=0,$T$8,$T$5),IF(G212=0,$T$9,$T$7))</f>
        <v>0</v>
      </c>
      <c r="I212" s="1534"/>
      <c r="J212" s="1534"/>
      <c r="K212" s="1534"/>
      <c r="L212" s="1534"/>
      <c r="M212" s="1534"/>
      <c r="N212" s="1535"/>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2">
      <c r="C213" s="1523"/>
      <c r="D213" s="1523"/>
      <c r="E213" s="1523"/>
      <c r="F213" s="1523"/>
      <c r="G213" s="1523"/>
      <c r="H213" s="1523"/>
      <c r="I213" s="1523"/>
      <c r="J213" s="1523"/>
      <c r="K213" s="1523"/>
      <c r="L213" s="1523"/>
      <c r="M213" s="1523"/>
      <c r="N213" s="1523"/>
      <c r="O213" s="1111"/>
      <c r="P213" s="1106"/>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2">
      <c r="C214" s="1525"/>
      <c r="D214" s="1525"/>
      <c r="E214" s="1525"/>
      <c r="F214" s="1525"/>
      <c r="G214" s="1525"/>
      <c r="H214" s="1525"/>
      <c r="I214" s="1525"/>
      <c r="J214" s="1525"/>
      <c r="K214" s="1525"/>
      <c r="L214" s="1525"/>
      <c r="M214" s="1525"/>
      <c r="N214" s="1525"/>
      <c r="O214" s="1111"/>
      <c r="P214" s="1106"/>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2">
      <c r="D215" s="1526" t="str">
        <f>IF($Q$2=2,"Réconciliation détaillée du compte "&amp;F217&amp;" - "&amp;C217,"Detailed Reconciliation of the Account "&amp;F217&amp;" - "&amp;C217)</f>
        <v>Detailed Reconciliation of the Account 1085 - Disponible ~ Available</v>
      </c>
      <c r="E215" s="1526"/>
      <c r="F215" s="1526"/>
      <c r="G215" s="1526"/>
      <c r="H215" s="1526"/>
      <c r="I215" s="1526"/>
      <c r="J215" s="1526"/>
      <c r="K215" s="1526"/>
      <c r="L215" s="1526"/>
      <c r="M215" s="1526"/>
      <c r="N215" s="1113"/>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2">
      <c r="C216" s="1527" t="str">
        <f>IF($Q$2=2,"Réconciliation selon les livres comptables","Reconciliation as per BookKeeping")</f>
        <v>Reconciliation as per BookKeeping</v>
      </c>
      <c r="D216" s="1527"/>
      <c r="E216" s="1527"/>
      <c r="F216" s="1527"/>
      <c r="G216" s="1527"/>
      <c r="I216" s="1527" t="str">
        <f>IF($Q$2=2,"Réconciliation selon l'état de compte","Reconciliation as per Account Statement")</f>
        <v>Reconciliation as per Account Statement</v>
      </c>
      <c r="J216" s="1527"/>
      <c r="K216" s="1527"/>
      <c r="L216" s="1527"/>
      <c r="M216" s="1527"/>
      <c r="N216" s="1114"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25">
      <c r="C217" s="1528" t="str">
        <f>'Set up ~ Config'!G60</f>
        <v>Disponible ~ Available</v>
      </c>
      <c r="D217" s="1528"/>
      <c r="E217" s="1528"/>
      <c r="F217" s="1115" t="str">
        <f>LEFT('Set up ~ Config'!F60,4)</f>
        <v>1085</v>
      </c>
      <c r="G217" s="82"/>
      <c r="I217" s="1529"/>
      <c r="J217" s="1529"/>
      <c r="K217" s="1529"/>
      <c r="L217" s="1529"/>
      <c r="M217" s="1529"/>
      <c r="N217" s="1529"/>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25">
      <c r="C218" s="1530" t="str">
        <f>IF($Q$2=2,"Solde du compte au ","Account Balance on ")</f>
        <v xml:space="preserve">Account Balance on </v>
      </c>
      <c r="D218" s="1530"/>
      <c r="E218" s="1530"/>
      <c r="F218" s="1116">
        <f>DATEVALUE('Set up ~ Config'!$L$5)</f>
        <v>45535</v>
      </c>
      <c r="G218" s="1117">
        <f>'Set up ~ Config'!D60</f>
        <v>0</v>
      </c>
      <c r="H218" s="1"/>
      <c r="I218" s="1118" t="str">
        <f>IF($Q$2=2,"Date (aaaa-mm-jj):","Date (yyyy-mm-dd):")</f>
        <v>Date (yyyy-mm-dd):</v>
      </c>
      <c r="J218" s="957"/>
      <c r="K218" s="1531" t="str">
        <f>IF($Q$2=2,"Solde :","Balance :")</f>
        <v>Balance :</v>
      </c>
      <c r="L218" s="1532"/>
      <c r="M218" s="1533"/>
      <c r="N218" s="942"/>
      <c r="O218" s="1"/>
      <c r="P218" s="12"/>
      <c r="Q218" s="1542"/>
      <c r="R218" s="1542"/>
      <c r="S218" s="1542"/>
    </row>
    <row r="219" spans="3:62" s="1" customFormat="1" ht="25.5" customHeight="1" thickTop="1" x14ac:dyDescent="0.2">
      <c r="C219" s="1536" t="str">
        <f>IF($Q$2=2,"Plus: Accroissements (Jrnl des revenus)","Plus: Increases (Revenue Jrnl)")</f>
        <v>Plus: Increases (Revenue Jrnl)</v>
      </c>
      <c r="D219" s="1536"/>
      <c r="E219" s="1536"/>
      <c r="F219" s="1536"/>
      <c r="G219" s="1117">
        <f>'Jrnl Rev'!G538</f>
        <v>0</v>
      </c>
      <c r="H219" s="1120"/>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2">
      <c r="C220" s="1536" t="str">
        <f>IF($Q$2=2," Moins: Décroissements (Jrnl des dépenses)","Less: Decreases (Expense Jrnl)")</f>
        <v>Less: Decreases (Expense Jrnl)</v>
      </c>
      <c r="D220" s="1536"/>
      <c r="E220" s="1536"/>
      <c r="F220" s="1536"/>
      <c r="G220" s="1117">
        <f>'Jrnl Exp ~ Dép'!G538</f>
        <v>0</v>
      </c>
      <c r="I220" s="188"/>
      <c r="J220" s="188"/>
      <c r="K220" s="188"/>
      <c r="L220" s="188"/>
      <c r="M220" s="188"/>
      <c r="N220" s="1121"/>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2">
      <c r="C221" s="1538"/>
      <c r="D221" s="1538"/>
      <c r="E221" s="1538"/>
      <c r="F221" s="1538"/>
      <c r="H221" s="1120"/>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25">
      <c r="C222" s="1537" t="str">
        <f>IF($Q$2=2,F217&amp;" Fonds disponible du compte",F217&amp;" Account Available Funds")</f>
        <v>1085 Account Available Funds</v>
      </c>
      <c r="D222" s="1537"/>
      <c r="E222" s="1537"/>
      <c r="F222" s="1537"/>
      <c r="G222" s="1122"/>
      <c r="I222" s="18"/>
      <c r="J222" s="12"/>
      <c r="K222" s="12"/>
      <c r="L222" s="12"/>
      <c r="M222" s="12"/>
      <c r="N222" s="1123"/>
      <c r="P222" s="12"/>
      <c r="Q222" s="12"/>
      <c r="R222" s="12"/>
      <c r="S222" s="12"/>
      <c r="T222" s="12"/>
      <c r="U222" s="1119"/>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25">
      <c r="C223" s="1539" t="str">
        <f>IF($Q$2=2,"Solde reporté à la ligne "&amp;F217&amp;" du Bilan - page 7","This balance fwrd'd to line "&amp;F217&amp;" of Balance Sheet -  page 7")</f>
        <v>This balance fwrd'd to line 1085 of Balance Sheet -  page 7</v>
      </c>
      <c r="D223" s="1539"/>
      <c r="E223" s="1539"/>
      <c r="F223" s="1539"/>
      <c r="G223" s="1124">
        <f>IF(AND(SUM(G218+G219-G220)&lt;0.001,SUM(G218+G219-G220)&gt;-0.001),0,SUM(G218+G219-G220))</f>
        <v>0</v>
      </c>
      <c r="H223" s="605"/>
      <c r="J223" s="82"/>
      <c r="K223" s="82"/>
      <c r="L223" s="82"/>
      <c r="M223" s="1125"/>
      <c r="N223" s="1124">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25">
      <c r="F224" s="189"/>
      <c r="J224" s="1120"/>
      <c r="M224" s="1126"/>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25">
      <c r="C225" s="1524"/>
      <c r="D225" s="1524"/>
      <c r="E225" s="1524"/>
      <c r="F225" s="1524"/>
      <c r="G225" s="1127">
        <f>IF(AND(G223-N223&lt;0.001,G223-N223&gt;-0.001),0,G223-N223)</f>
        <v>0</v>
      </c>
      <c r="H225" s="1534">
        <f>IF($Q$2=2,IF(G225=0,$T$8,$T$5),IF(G225=0,$T$9,$T$7))</f>
        <v>0</v>
      </c>
      <c r="I225" s="1534"/>
      <c r="J225" s="1534"/>
      <c r="K225" s="1534"/>
      <c r="L225" s="1534"/>
      <c r="M225" s="1534"/>
      <c r="N225" s="1535"/>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2">
      <c r="C226" s="1523"/>
      <c r="D226" s="1523"/>
      <c r="E226" s="1523"/>
      <c r="F226" s="1523"/>
      <c r="G226" s="1523"/>
      <c r="H226" s="1523"/>
      <c r="I226" s="1523"/>
      <c r="J226" s="1523"/>
      <c r="K226" s="1523"/>
      <c r="L226" s="1523"/>
      <c r="M226" s="1523"/>
      <c r="N226" s="1523"/>
      <c r="O226" s="1111"/>
      <c r="P226" s="1106"/>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2">
      <c r="C227" s="1525"/>
      <c r="D227" s="1525"/>
      <c r="E227" s="1525"/>
      <c r="F227" s="1525"/>
      <c r="G227" s="1525"/>
      <c r="H227" s="1525"/>
      <c r="I227" s="1525"/>
      <c r="J227" s="1525"/>
      <c r="K227" s="1525"/>
      <c r="L227" s="1525"/>
      <c r="M227" s="1525"/>
      <c r="N227" s="1525"/>
      <c r="O227" s="1111"/>
      <c r="P227" s="1106"/>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2">
      <c r="D228" s="1526" t="str">
        <f>IF($Q$2=2,"Réconciliation détaillée du compte "&amp;F230&amp;" - "&amp;C230,"Detailed Reconciliation of the Account "&amp;F230&amp;" - "&amp;C230)</f>
        <v>Detailed Reconciliation of the Account 1090 - Disponible ~ Available</v>
      </c>
      <c r="E228" s="1526"/>
      <c r="F228" s="1526"/>
      <c r="G228" s="1526"/>
      <c r="H228" s="1526"/>
      <c r="I228" s="1526"/>
      <c r="J228" s="1526"/>
      <c r="K228" s="1526"/>
      <c r="L228" s="1526"/>
      <c r="M228" s="1526"/>
      <c r="N228" s="1113"/>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2">
      <c r="C229" s="1527" t="str">
        <f>IF($Q$2=2,"Réconciliation selon les livres comptables","Reconciliation as per BookKeeping")</f>
        <v>Reconciliation as per BookKeeping</v>
      </c>
      <c r="D229" s="1527"/>
      <c r="E229" s="1527"/>
      <c r="F229" s="1527"/>
      <c r="G229" s="1527"/>
      <c r="I229" s="1527" t="str">
        <f>IF($Q$2=2,"Réconciliation selon l'état de compte","Reconciliation as per Account Statement")</f>
        <v>Reconciliation as per Account Statement</v>
      </c>
      <c r="J229" s="1527"/>
      <c r="K229" s="1527"/>
      <c r="L229" s="1527"/>
      <c r="M229" s="1527"/>
      <c r="N229" s="1114"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25">
      <c r="C230" s="1528" t="str">
        <f>'Set up ~ Config'!G61</f>
        <v>Disponible ~ Available</v>
      </c>
      <c r="D230" s="1528"/>
      <c r="E230" s="1528"/>
      <c r="F230" s="1115" t="str">
        <f>LEFT('Set up ~ Config'!F61,4)</f>
        <v>1090</v>
      </c>
      <c r="G230" s="82"/>
      <c r="I230" s="1529"/>
      <c r="J230" s="1529"/>
      <c r="K230" s="1529"/>
      <c r="L230" s="1529"/>
      <c r="M230" s="1529"/>
      <c r="N230" s="1529"/>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25">
      <c r="C231" s="1530" t="str">
        <f>IF($Q$2=2,"Solde du compte au ","Account Balance on ")</f>
        <v xml:space="preserve">Account Balance on </v>
      </c>
      <c r="D231" s="1530"/>
      <c r="E231" s="1530"/>
      <c r="F231" s="1116">
        <f>DATEVALUE('Set up ~ Config'!$L$5)</f>
        <v>45535</v>
      </c>
      <c r="G231" s="1117">
        <f>'Set up ~ Config'!D61</f>
        <v>0</v>
      </c>
      <c r="I231" s="1118" t="str">
        <f>IF($Q$2=2,"Date (aaaa-mm-jj):","Date (yyyy-mm-dd):")</f>
        <v>Date (yyyy-mm-dd):</v>
      </c>
      <c r="J231" s="957"/>
      <c r="K231" s="1531" t="str">
        <f>IF($Q$2=2,"Solde :","Balance :")</f>
        <v>Balance :</v>
      </c>
      <c r="L231" s="1532"/>
      <c r="M231" s="1533"/>
      <c r="N231" s="942"/>
      <c r="P231" s="12"/>
      <c r="Q231" s="1542"/>
      <c r="R231" s="1542"/>
      <c r="S231" s="1542"/>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2">
      <c r="C232" s="1536" t="str">
        <f>IF($Q$2=2,"Plus: Accroissements (Jrnl des revenus)","Plus: Increases (Revenue Jrnl)")</f>
        <v>Plus: Increases (Revenue Jrnl)</v>
      </c>
      <c r="D232" s="1536"/>
      <c r="E232" s="1536"/>
      <c r="F232" s="1536"/>
      <c r="G232" s="1117">
        <f>'Jrnl Rev'!G539</f>
        <v>0</v>
      </c>
      <c r="H232" s="1120"/>
      <c r="P232" s="12"/>
      <c r="Q232" s="12"/>
      <c r="R232" s="12"/>
      <c r="S232" s="12"/>
      <c r="T232" s="12"/>
      <c r="U232" s="1119"/>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2">
      <c r="C233" s="1536" t="str">
        <f>IF($Q$2=2," Moins: Décroissements (Jrnl des dépenses)","Less: Decreases (Expense Jrnl)")</f>
        <v>Less: Decreases (Expense Jrnl)</v>
      </c>
      <c r="D233" s="1536"/>
      <c r="E233" s="1536"/>
      <c r="F233" s="1536"/>
      <c r="G233" s="1117">
        <f>'Jrnl Exp ~ Dép'!G539</f>
        <v>0</v>
      </c>
      <c r="I233" s="188"/>
      <c r="J233" s="188"/>
      <c r="K233" s="188"/>
      <c r="L233" s="188"/>
      <c r="M233" s="188"/>
      <c r="N233" s="1121"/>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2">
      <c r="C234" s="1538"/>
      <c r="D234" s="1538"/>
      <c r="E234" s="1538"/>
      <c r="F234" s="1538"/>
      <c r="H234" s="1120"/>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25">
      <c r="C235" s="1537" t="str">
        <f>IF($Q$2=2,F230&amp;" Fonds disponible du compte",F230&amp;" Account Available Funds")</f>
        <v>1090 Account Available Funds</v>
      </c>
      <c r="D235" s="1537"/>
      <c r="E235" s="1537"/>
      <c r="F235" s="1537"/>
      <c r="G235" s="1122"/>
      <c r="I235" s="18"/>
      <c r="J235" s="12"/>
      <c r="K235" s="12"/>
      <c r="L235" s="12"/>
      <c r="M235" s="12"/>
      <c r="N235" s="1123"/>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25">
      <c r="C236" s="1539" t="str">
        <f>IF($Q$2=2,"Solde reporté à la ligne "&amp;F230&amp;" du Bilan - page 7","This balance fwrd'd to line "&amp;F230&amp;" of Balance Sheet -  page 7")</f>
        <v>This balance fwrd'd to line 1090 of Balance Sheet -  page 7</v>
      </c>
      <c r="D236" s="1539"/>
      <c r="E236" s="1539"/>
      <c r="F236" s="1539"/>
      <c r="G236" s="1124">
        <f>IF(AND(SUM(G231+G232-G233)&lt;0.001,SUM(G231+G232-G233)&gt;-0.001),0,SUM(G231+G232-G233))</f>
        <v>0</v>
      </c>
      <c r="H236" s="605"/>
      <c r="J236" s="82"/>
      <c r="K236" s="82"/>
      <c r="L236" s="82"/>
      <c r="M236" s="1125"/>
      <c r="N236" s="1124">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25">
      <c r="F237" s="189"/>
      <c r="J237" s="1120"/>
      <c r="M237" s="1126"/>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25">
      <c r="C238" s="1524"/>
      <c r="D238" s="1524"/>
      <c r="E238" s="1524"/>
      <c r="F238" s="1524"/>
      <c r="G238" s="1127">
        <f>IF(AND(G236-N236&lt;0.001,G236-N236&gt;-0.001),0,G236-N236)</f>
        <v>0</v>
      </c>
      <c r="H238" s="1534">
        <f>IF($Q$2=2,IF(G238=0,$T$8,$T$5),IF(G238=0,$T$9,$T$7))</f>
        <v>0</v>
      </c>
      <c r="I238" s="1534"/>
      <c r="J238" s="1534"/>
      <c r="K238" s="1534"/>
      <c r="L238" s="1534"/>
      <c r="M238" s="1534"/>
      <c r="N238" s="1535"/>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2">
      <c r="C239" s="1523"/>
      <c r="D239" s="1523"/>
      <c r="E239" s="1523"/>
      <c r="F239" s="1523"/>
      <c r="G239" s="1523"/>
      <c r="H239" s="1523"/>
      <c r="I239" s="1523"/>
      <c r="J239" s="1523"/>
      <c r="K239" s="1523"/>
      <c r="L239" s="1523"/>
      <c r="M239" s="1523"/>
      <c r="N239" s="1523"/>
      <c r="O239" s="1111"/>
      <c r="P239" s="1106"/>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2">
      <c r="C240" s="1525"/>
      <c r="D240" s="1525"/>
      <c r="E240" s="1525"/>
      <c r="F240" s="1525"/>
      <c r="G240" s="1525"/>
      <c r="H240" s="1525"/>
      <c r="I240" s="1525"/>
      <c r="J240" s="1525"/>
      <c r="K240" s="1525"/>
      <c r="L240" s="1525"/>
      <c r="M240" s="1525"/>
      <c r="N240" s="1525"/>
      <c r="O240" s="1111"/>
      <c r="P240" s="1106"/>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2">
      <c r="C241" s="1"/>
      <c r="D241" s="1526" t="str">
        <f>IF($Q$2=2,"Réconciliation détaillée du compte "&amp;F243&amp;" - "&amp;C243,"Detailed Reconciliation of the Account "&amp;F243&amp;" - "&amp;C243)</f>
        <v>Detailed Reconciliation of the Account 1095 - Disponible ~ Available</v>
      </c>
      <c r="E241" s="1526"/>
      <c r="F241" s="1526"/>
      <c r="G241" s="1526"/>
      <c r="H241" s="1526"/>
      <c r="I241" s="1526"/>
      <c r="J241" s="1526"/>
      <c r="K241" s="1526"/>
      <c r="L241" s="1526"/>
      <c r="M241" s="1526"/>
      <c r="N241" s="1113"/>
      <c r="O241" s="1"/>
      <c r="P241" s="12"/>
      <c r="Q241" s="1"/>
      <c r="R241" s="12"/>
      <c r="S241" s="12"/>
      <c r="BK241" s="187"/>
      <c r="BL241" s="187"/>
      <c r="BM241" s="187"/>
    </row>
    <row r="242" spans="3:65" ht="29.25" customHeight="1" x14ac:dyDescent="0.2">
      <c r="C242" s="1527" t="str">
        <f>IF($Q$2=2,"Réconciliation selon les livres comptables","Reconciliation as per BookKeeping")</f>
        <v>Reconciliation as per BookKeeping</v>
      </c>
      <c r="D242" s="1527"/>
      <c r="E242" s="1527"/>
      <c r="F242" s="1527"/>
      <c r="G242" s="1527"/>
      <c r="H242" s="1"/>
      <c r="I242" s="1527" t="str">
        <f>IF($Q$2=2,"Réconciliation selon l'état de compte","Reconciliation as per Account Statement")</f>
        <v>Reconciliation as per Account Statement</v>
      </c>
      <c r="J242" s="1527"/>
      <c r="K242" s="1527"/>
      <c r="L242" s="1527"/>
      <c r="M242" s="1527"/>
      <c r="N242" s="1114" t="str">
        <f>F243</f>
        <v>1095</v>
      </c>
      <c r="O242" s="1"/>
      <c r="P242" s="188"/>
      <c r="Q242" s="1"/>
      <c r="R242" s="188"/>
      <c r="S242" s="188"/>
    </row>
    <row r="243" spans="3:65" s="1" customFormat="1" ht="25.5" customHeight="1" thickBot="1" x14ac:dyDescent="0.25">
      <c r="C243" s="1528" t="str">
        <f>'Set up ~ Config'!G62</f>
        <v>Disponible ~ Available</v>
      </c>
      <c r="D243" s="1528"/>
      <c r="E243" s="1528"/>
      <c r="F243" s="1115" t="str">
        <f>LEFT('Set up ~ Config'!F62,4)</f>
        <v>1095</v>
      </c>
      <c r="G243" s="82"/>
      <c r="I243" s="1529"/>
      <c r="J243" s="1529"/>
      <c r="K243" s="1529"/>
      <c r="L243" s="1529"/>
      <c r="M243" s="1529"/>
      <c r="N243" s="1529"/>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25">
      <c r="C244" s="1530" t="str">
        <f>IF($Q$2=2,"Solde du compte au ","Account Balance on ")</f>
        <v xml:space="preserve">Account Balance on </v>
      </c>
      <c r="D244" s="1530"/>
      <c r="E244" s="1530"/>
      <c r="F244" s="1116">
        <f>DATEVALUE('Set up ~ Config'!$L$5)</f>
        <v>45535</v>
      </c>
      <c r="G244" s="1117">
        <f>'Set up ~ Config'!D62</f>
        <v>0</v>
      </c>
      <c r="I244" s="1118" t="str">
        <f>IF($Q$2=2,"Date (aaaa-mm-jj):","Date (yyyy-mm-dd):")</f>
        <v>Date (yyyy-mm-dd):</v>
      </c>
      <c r="J244" s="957"/>
      <c r="K244" s="1531" t="str">
        <f>IF($Q$2=2,"Solde :","Balance :")</f>
        <v>Balance :</v>
      </c>
      <c r="L244" s="1532"/>
      <c r="M244" s="1533"/>
      <c r="N244" s="942"/>
      <c r="P244" s="12"/>
      <c r="Q244" s="1542"/>
      <c r="R244" s="1542"/>
      <c r="S244" s="1542"/>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2">
      <c r="C245" s="1536" t="str">
        <f>IF($Q$2=2,"Plus: Accroissements (Jrnl des revenus)","Plus: Increases (Revenue Jrnl)")</f>
        <v>Plus: Increases (Revenue Jrnl)</v>
      </c>
      <c r="D245" s="1536"/>
      <c r="E245" s="1536"/>
      <c r="F245" s="1536"/>
      <c r="G245" s="1117">
        <f>'Jrnl Rev'!G540</f>
        <v>0</v>
      </c>
      <c r="H245" s="1120"/>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2">
      <c r="C246" s="1536" t="str">
        <f>IF($Q$2=2," Moins: Décroissements (Jrnl des dépenses)","Less: Decreases (Expense Jrnl)")</f>
        <v>Less: Decreases (Expense Jrnl)</v>
      </c>
      <c r="D246" s="1536"/>
      <c r="E246" s="1536"/>
      <c r="F246" s="1536"/>
      <c r="G246" s="1117">
        <f>'Jrnl Exp ~ Dép'!G540</f>
        <v>0</v>
      </c>
      <c r="I246" s="188"/>
      <c r="J246" s="188"/>
      <c r="K246" s="188"/>
      <c r="L246" s="188"/>
      <c r="M246" s="188"/>
      <c r="N246" s="1121"/>
      <c r="P246" s="12"/>
      <c r="Q246" s="12"/>
      <c r="R246" s="12"/>
      <c r="S246" s="12"/>
      <c r="T246" s="12"/>
      <c r="U246" s="1119"/>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2">
      <c r="C247" s="1538"/>
      <c r="D247" s="1538"/>
      <c r="E247" s="1538"/>
      <c r="F247" s="1538"/>
      <c r="H247" s="1120"/>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25">
      <c r="C248" s="1537" t="str">
        <f>IF($Q$2=2,F243&amp;" Fonds disponible du compte",F243&amp;" Account Available Funds")</f>
        <v>1095 Account Available Funds</v>
      </c>
      <c r="D248" s="1537"/>
      <c r="E248" s="1537"/>
      <c r="F248" s="1537"/>
      <c r="G248" s="1122"/>
      <c r="I248" s="18"/>
      <c r="J248" s="12"/>
      <c r="K248" s="12"/>
      <c r="L248" s="12"/>
      <c r="M248" s="12"/>
      <c r="N248" s="1123"/>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25">
      <c r="C249" s="1539" t="str">
        <f>IF($Q$2=2,"Solde reporté à la ligne "&amp;F243&amp;" du Bilan - page 7","This balance fwrd'd to line "&amp;F243&amp;" of Balance Sheet -  page 7")</f>
        <v>This balance fwrd'd to line 1095 of Balance Sheet -  page 7</v>
      </c>
      <c r="D249" s="1539"/>
      <c r="E249" s="1539"/>
      <c r="F249" s="1539"/>
      <c r="G249" s="1124">
        <f>IF(AND(SUM(G244+G245-G246)&lt;0.001,SUM(G244+G245-G246)&gt;-0.001),0,SUM(G244+G245-G246))</f>
        <v>0</v>
      </c>
      <c r="H249" s="605"/>
      <c r="J249" s="82"/>
      <c r="K249" s="82"/>
      <c r="L249" s="82"/>
      <c r="M249" s="1125"/>
      <c r="N249" s="1124">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25">
      <c r="F250" s="189"/>
      <c r="J250" s="1120"/>
      <c r="M250" s="1126"/>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25">
      <c r="C251" s="1524"/>
      <c r="D251" s="1524"/>
      <c r="E251" s="1524"/>
      <c r="F251" s="1524"/>
      <c r="G251" s="1127">
        <f>IF(AND(G249-N249&lt;0.001,G249-N249&gt;-0.001),0,G249-N249)</f>
        <v>0</v>
      </c>
      <c r="H251" s="1534">
        <f>IF($Q$2=2,IF(G251=0,$T$8,$T$5),IF(G251=0,$T$9,$T$7))</f>
        <v>0</v>
      </c>
      <c r="I251" s="1534"/>
      <c r="J251" s="1534"/>
      <c r="K251" s="1534"/>
      <c r="L251" s="1534"/>
      <c r="M251" s="1534"/>
      <c r="N251" s="1535"/>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2">
      <c r="C252" s="1523"/>
      <c r="D252" s="1523"/>
      <c r="E252" s="1523"/>
      <c r="F252" s="1523"/>
      <c r="G252" s="1523"/>
      <c r="H252" s="1523"/>
      <c r="I252" s="1523"/>
      <c r="J252" s="1523"/>
      <c r="K252" s="1523"/>
      <c r="L252" s="1523"/>
      <c r="M252" s="1523"/>
      <c r="N252" s="1523"/>
      <c r="O252" s="1111"/>
      <c r="P252" s="1106"/>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2">
      <c r="C253" s="1525"/>
      <c r="D253" s="1525"/>
      <c r="E253" s="1525"/>
      <c r="F253" s="1525"/>
      <c r="G253" s="1525"/>
      <c r="H253" s="1525"/>
      <c r="I253" s="1525"/>
      <c r="J253" s="1525"/>
      <c r="K253" s="1525"/>
      <c r="L253" s="1525"/>
      <c r="M253" s="1525"/>
      <c r="N253" s="1525"/>
      <c r="O253" s="1111"/>
      <c r="P253" s="1106"/>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2">
      <c r="D254" s="1526" t="str">
        <f>IF($Q$2=2,"Réconciliation détaillée du compte "&amp;F256&amp;" - "&amp;C256,"Detailed Reconciliation of the Account "&amp;F256&amp;" - "&amp;C256)</f>
        <v>Detailed Reconciliation of the Account 1210 - Investments GICs</v>
      </c>
      <c r="E254" s="1526"/>
      <c r="F254" s="1526"/>
      <c r="G254" s="1526"/>
      <c r="H254" s="1526"/>
      <c r="I254" s="1526"/>
      <c r="J254" s="1526"/>
      <c r="K254" s="1526"/>
      <c r="L254" s="1526"/>
      <c r="M254" s="1526"/>
      <c r="N254" s="1113"/>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2">
      <c r="C255" s="1527" t="str">
        <f>IF($Q$2=2,"Réconciliation selon les livres comptables","Reconciliation as per BookKeeping")</f>
        <v>Reconciliation as per BookKeeping</v>
      </c>
      <c r="D255" s="1527"/>
      <c r="E255" s="1527"/>
      <c r="F255" s="1527"/>
      <c r="G255" s="1527"/>
      <c r="H255" s="1"/>
      <c r="I255" s="1527" t="str">
        <f>IF($Q$2=2,"Réconciliation selon l'état de compte","Reconciliation as per Account Statement")</f>
        <v>Reconciliation as per Account Statement</v>
      </c>
      <c r="J255" s="1527"/>
      <c r="K255" s="1527"/>
      <c r="L255" s="1527"/>
      <c r="M255" s="1527"/>
      <c r="N255" s="1114" t="str">
        <f>F256</f>
        <v>1210</v>
      </c>
      <c r="O255" s="1"/>
      <c r="P255" s="188"/>
      <c r="Q255" s="1"/>
      <c r="R255" s="188"/>
      <c r="S255" s="188"/>
      <c r="BK255" s="187"/>
      <c r="BL255" s="187"/>
      <c r="BM255" s="187"/>
    </row>
    <row r="256" spans="3:65" ht="25.5" customHeight="1" thickBot="1" x14ac:dyDescent="0.25">
      <c r="C256" s="1528" t="str">
        <f>'Set up ~ Config'!G64</f>
        <v>Investments GICs</v>
      </c>
      <c r="D256" s="1528"/>
      <c r="E256" s="1528"/>
      <c r="F256" s="1115" t="str">
        <f>LEFT('Set up ~ Config'!F64,4)</f>
        <v>1210</v>
      </c>
      <c r="G256" s="82"/>
      <c r="H256" s="1"/>
      <c r="I256" s="1529"/>
      <c r="J256" s="1529"/>
      <c r="K256" s="1529"/>
      <c r="L256" s="1529"/>
      <c r="M256" s="1529"/>
      <c r="N256" s="1529"/>
      <c r="O256" s="1"/>
      <c r="P256" s="12"/>
      <c r="Q256" s="1"/>
      <c r="R256" s="12"/>
      <c r="S256" s="12"/>
    </row>
    <row r="257" spans="3:65" s="1" customFormat="1" ht="25.5" customHeight="1" thickTop="1" thickBot="1" x14ac:dyDescent="0.25">
      <c r="C257" s="1530" t="str">
        <f>IF($Q$2=2,"Solde du compte au ","Account Balance on ")</f>
        <v xml:space="preserve">Account Balance on </v>
      </c>
      <c r="D257" s="1530"/>
      <c r="E257" s="1530"/>
      <c r="F257" s="1116">
        <f>DATEVALUE('Set up ~ Config'!$L$5)</f>
        <v>45535</v>
      </c>
      <c r="G257" s="1117">
        <f>'Set up ~ Config'!D64</f>
        <v>0</v>
      </c>
      <c r="I257" s="1118" t="str">
        <f>IF($Q$2=2,"Date (aaaa-mm-jj):","Date (yyyy-mm-dd):")</f>
        <v>Date (yyyy-mm-dd):</v>
      </c>
      <c r="J257" s="957"/>
      <c r="K257" s="1531" t="str">
        <f>IF($Q$2=2,"Solde :","Balance :")</f>
        <v>Balance :</v>
      </c>
      <c r="L257" s="1532"/>
      <c r="M257" s="1533"/>
      <c r="N257" s="942"/>
      <c r="P257" s="12"/>
      <c r="Q257" s="1542"/>
      <c r="R257" s="1542"/>
      <c r="S257" s="1542"/>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2">
      <c r="C258" s="1536" t="str">
        <f>IF($Q$2=2,"Plus: Accroissements (Jrnl des revenus)","Plus: Increases (Revenue Jrnl)")</f>
        <v>Plus: Increases (Revenue Jrnl)</v>
      </c>
      <c r="D258" s="1536"/>
      <c r="E258" s="1536"/>
      <c r="F258" s="1536"/>
      <c r="G258" s="1117">
        <f>'Jrnl Rev'!G541</f>
        <v>0</v>
      </c>
      <c r="H258" s="1120"/>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2">
      <c r="C259" s="1536" t="str">
        <f>IF($Q$2=2," Moins: Décroissements (Jrnl des dépenses)","Less: Decreases (Expense Jrnl)")</f>
        <v>Less: Decreases (Expense Jrnl)</v>
      </c>
      <c r="D259" s="1536"/>
      <c r="E259" s="1536"/>
      <c r="F259" s="1536"/>
      <c r="G259" s="1117">
        <f>'Jrnl Exp ~ Dép'!G541</f>
        <v>0</v>
      </c>
      <c r="I259" s="188"/>
      <c r="J259" s="188"/>
      <c r="K259" s="188"/>
      <c r="L259" s="188"/>
      <c r="M259" s="188"/>
      <c r="N259" s="1121"/>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2">
      <c r="C260" s="1538"/>
      <c r="D260" s="1538"/>
      <c r="E260" s="1538"/>
      <c r="F260" s="1538"/>
      <c r="H260" s="1120"/>
      <c r="P260" s="12"/>
      <c r="Q260" s="12"/>
      <c r="R260" s="12"/>
      <c r="S260" s="12"/>
      <c r="T260" s="12"/>
      <c r="U260" s="1119"/>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25">
      <c r="C261" s="1537" t="str">
        <f>IF($Q$2=2,F256&amp;" Fonds disponible du compte",F256&amp;" Account Available Funds")</f>
        <v>1210 Account Available Funds</v>
      </c>
      <c r="D261" s="1537"/>
      <c r="E261" s="1537"/>
      <c r="F261" s="1537"/>
      <c r="G261" s="1122"/>
      <c r="I261" s="18"/>
      <c r="J261" s="12"/>
      <c r="K261" s="12"/>
      <c r="L261" s="12"/>
      <c r="M261" s="12"/>
      <c r="N261" s="1123"/>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25">
      <c r="C262" s="1539" t="str">
        <f>IF($Q$2=2,"Solde reporté à la ligne "&amp;F256&amp;" du Bilan - page 7","This balance fwrd'd to line "&amp;F256&amp;" of Balance Sheet -  page 7")</f>
        <v>This balance fwrd'd to line 1210 of Balance Sheet -  page 7</v>
      </c>
      <c r="D262" s="1539"/>
      <c r="E262" s="1539"/>
      <c r="F262" s="1539"/>
      <c r="G262" s="1124">
        <f>IF(AND(SUM(G257+G258-G259)&lt;0.001,SUM(G257+G258-G259)&gt;-0.001),0,SUM(G257+G258-G259))</f>
        <v>0</v>
      </c>
      <c r="H262" s="605"/>
      <c r="J262" s="82"/>
      <c r="K262" s="82"/>
      <c r="L262" s="82"/>
      <c r="M262" s="1125"/>
      <c r="N262" s="1124">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25">
      <c r="F263" s="189"/>
      <c r="J263" s="1120"/>
      <c r="M263" s="1126"/>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25">
      <c r="C264" s="1524"/>
      <c r="D264" s="1524"/>
      <c r="E264" s="1524"/>
      <c r="F264" s="1524"/>
      <c r="G264" s="1127">
        <f>IF(AND(G262-N262&lt;0.001,G262-N262&gt;-0.001),0,G262-N262)</f>
        <v>0</v>
      </c>
      <c r="H264" s="1534">
        <f>IF($Q$2=2,IF(G264=0,$T$8,$T$5),IF(G264=0,$T$9,$T$7))</f>
        <v>0</v>
      </c>
      <c r="I264" s="1534"/>
      <c r="J264" s="1534"/>
      <c r="K264" s="1534"/>
      <c r="L264" s="1534"/>
      <c r="M264" s="1534"/>
      <c r="N264" s="1535"/>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2">
      <c r="C265" s="1523"/>
      <c r="D265" s="1523"/>
      <c r="E265" s="1523"/>
      <c r="F265" s="1523"/>
      <c r="G265" s="1523"/>
      <c r="H265" s="1523"/>
      <c r="I265" s="1523"/>
      <c r="J265" s="1523"/>
      <c r="K265" s="1523"/>
      <c r="L265" s="1523"/>
      <c r="M265" s="1523"/>
      <c r="N265" s="1523"/>
      <c r="O265" s="1111"/>
      <c r="P265" s="1106"/>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2">
      <c r="C266" s="1525"/>
      <c r="D266" s="1525"/>
      <c r="E266" s="1525"/>
      <c r="F266" s="1525"/>
      <c r="G266" s="1525"/>
      <c r="H266" s="1525"/>
      <c r="I266" s="1525"/>
      <c r="J266" s="1525"/>
      <c r="K266" s="1525"/>
      <c r="L266" s="1525"/>
      <c r="M266" s="1525"/>
      <c r="N266" s="1525"/>
      <c r="O266" s="1111"/>
      <c r="P266" s="1106"/>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2">
      <c r="D267" s="1526" t="str">
        <f>IF($Q$2=2,"Réconciliation détaillée du compte "&amp;F269&amp;" - "&amp;C269,"Detailed Reconciliation of the Account "&amp;F269&amp;" - "&amp;C269)</f>
        <v>Detailed Reconciliation of the Account 1220 - Investments (Mutual Funds and such)</v>
      </c>
      <c r="E267" s="1526"/>
      <c r="F267" s="1526"/>
      <c r="G267" s="1526"/>
      <c r="H267" s="1526"/>
      <c r="I267" s="1526"/>
      <c r="J267" s="1526"/>
      <c r="K267" s="1526"/>
      <c r="L267" s="1526"/>
      <c r="M267" s="1526"/>
      <c r="N267" s="1113"/>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2">
      <c r="C268" s="1527" t="str">
        <f>IF($Q$2=2,"Réconciliation selon les livres comptables","Reconciliation as per BookKeeping")</f>
        <v>Reconciliation as per BookKeeping</v>
      </c>
      <c r="D268" s="1527"/>
      <c r="E268" s="1527"/>
      <c r="F268" s="1527"/>
      <c r="G268" s="1527"/>
      <c r="I268" s="1527" t="str">
        <f>IF($Q$2=2,"Réconciliation selon l'état de compte","Reconciliation as per Account Statement")</f>
        <v>Reconciliation as per Account Statement</v>
      </c>
      <c r="J268" s="1527"/>
      <c r="K268" s="1527"/>
      <c r="L268" s="1527"/>
      <c r="M268" s="1527"/>
      <c r="N268" s="1114"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25">
      <c r="C269" s="1571" t="str">
        <f>'Set up ~ Config'!G65</f>
        <v>Investments (Mutual Funds and such)</v>
      </c>
      <c r="D269" s="1571"/>
      <c r="E269" s="1571"/>
      <c r="F269" s="1115" t="str">
        <f>LEFT('Set up ~ Config'!F65,4)</f>
        <v>1220</v>
      </c>
      <c r="G269" s="82"/>
      <c r="H269" s="1"/>
      <c r="I269" s="1529"/>
      <c r="J269" s="1529"/>
      <c r="K269" s="1529"/>
      <c r="L269" s="1529"/>
      <c r="M269" s="1529"/>
      <c r="N269" s="1529"/>
      <c r="O269" s="1"/>
      <c r="P269" s="12"/>
      <c r="Q269" s="1"/>
      <c r="R269" s="12"/>
      <c r="S269" s="12"/>
      <c r="BK269" s="187"/>
      <c r="BL269" s="187"/>
      <c r="BM269" s="187"/>
    </row>
    <row r="270" spans="3:65" ht="25.5" customHeight="1" thickTop="1" thickBot="1" x14ac:dyDescent="0.25">
      <c r="C270" s="1530" t="str">
        <f>IF($Q$2=2,"Solde du compte au ","Account Balance on ")</f>
        <v xml:space="preserve">Account Balance on </v>
      </c>
      <c r="D270" s="1530"/>
      <c r="E270" s="1530"/>
      <c r="F270" s="1116">
        <f>DATEVALUE('Set up ~ Config'!$L$5)</f>
        <v>45535</v>
      </c>
      <c r="G270" s="1117">
        <f>'Set up ~ Config'!D65</f>
        <v>0</v>
      </c>
      <c r="H270" s="1"/>
      <c r="I270" s="1118" t="str">
        <f>IF($Q$2=2,"Date (aaaa-mm-jj):","Date (yyyy-mm-dd):")</f>
        <v>Date (yyyy-mm-dd):</v>
      </c>
      <c r="J270" s="957"/>
      <c r="K270" s="1531" t="str">
        <f>IF($Q$2=2,"Solde :","Balance :")</f>
        <v>Balance :</v>
      </c>
      <c r="L270" s="1532"/>
      <c r="M270" s="1533"/>
      <c r="N270" s="942"/>
      <c r="O270" s="1"/>
      <c r="P270" s="12"/>
      <c r="Q270" s="1542"/>
      <c r="R270" s="1542"/>
      <c r="S270" s="1542"/>
    </row>
    <row r="271" spans="3:65" s="1" customFormat="1" ht="25.5" customHeight="1" thickTop="1" x14ac:dyDescent="0.2">
      <c r="C271" s="1536" t="str">
        <f>IF($Q$2=2,"Plus: Accroissements (Jrnl des revenus)","Plus: Increases (Revenue Jrnl)")</f>
        <v>Plus: Increases (Revenue Jrnl)</v>
      </c>
      <c r="D271" s="1536"/>
      <c r="E271" s="1536"/>
      <c r="F271" s="1536"/>
      <c r="G271" s="1117">
        <f>'Jrnl Rev'!G542</f>
        <v>0</v>
      </c>
      <c r="H271" s="1120"/>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2">
      <c r="C272" s="1536" t="str">
        <f>IF($Q$2=2," Moins: Décroissements (Jrnl des dépenses)","Less: Decreases (Expense Jrnl)")</f>
        <v>Less: Decreases (Expense Jrnl)</v>
      </c>
      <c r="D272" s="1536"/>
      <c r="E272" s="1536"/>
      <c r="F272" s="1536"/>
      <c r="G272" s="1117">
        <f>'Jrnl Exp ~ Dép'!G542</f>
        <v>0</v>
      </c>
      <c r="I272" s="188"/>
      <c r="J272" s="188"/>
      <c r="K272" s="188"/>
      <c r="L272" s="188"/>
      <c r="M272" s="188"/>
      <c r="N272" s="1121"/>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2">
      <c r="C273" s="1538"/>
      <c r="D273" s="1538"/>
      <c r="E273" s="1538"/>
      <c r="F273" s="1538"/>
      <c r="H273" s="1120"/>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25">
      <c r="C274" s="1537" t="str">
        <f>IF($Q$2=2,F269&amp;" Fonds disponible du compte",F269&amp;" Account Available Funds")</f>
        <v>1220 Account Available Funds</v>
      </c>
      <c r="D274" s="1537"/>
      <c r="E274" s="1537"/>
      <c r="F274" s="1537"/>
      <c r="G274" s="1122"/>
      <c r="I274" s="18"/>
      <c r="J274" s="12"/>
      <c r="K274" s="12"/>
      <c r="L274" s="12"/>
      <c r="M274" s="12"/>
      <c r="N274" s="1123"/>
      <c r="P274" s="12"/>
      <c r="Q274" s="12"/>
      <c r="R274" s="12"/>
      <c r="S274" s="12"/>
      <c r="T274" s="12"/>
      <c r="U274" s="1119"/>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25">
      <c r="C275" s="1539" t="str">
        <f>IF($Q$2=2,"Solde reporté à la ligne "&amp;F269&amp;" du Bilan - page 7","This balance fwrd'd to line "&amp;F269&amp;" of Balance Sheet -  page 7")</f>
        <v>This balance fwrd'd to line 1220 of Balance Sheet -  page 7</v>
      </c>
      <c r="D275" s="1539"/>
      <c r="E275" s="1539"/>
      <c r="F275" s="1539"/>
      <c r="G275" s="1124">
        <f>IF(AND(SUM(G270+G271-G272)&lt;0.001,SUM(G270+G271-G272)&gt;-0.001),0,SUM(G270+G271-G272))</f>
        <v>0</v>
      </c>
      <c r="H275" s="605"/>
      <c r="J275" s="82"/>
      <c r="K275" s="82"/>
      <c r="L275" s="82"/>
      <c r="M275" s="1125"/>
      <c r="N275" s="1124">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25">
      <c r="F276" s="189"/>
      <c r="J276" s="1120"/>
      <c r="M276" s="1126"/>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25">
      <c r="C277" s="1524"/>
      <c r="D277" s="1524"/>
      <c r="E277" s="1524"/>
      <c r="F277" s="1524"/>
      <c r="G277" s="1127">
        <f>IF(AND(G275-N275&lt;0.001,G275-N275&gt;-0.001),0,G275-N275)</f>
        <v>0</v>
      </c>
      <c r="H277" s="1534">
        <f>IF($Q$2=2,IF(G277=0,$T$8,$T$5),IF(G277=0,$T$9,$T$7))</f>
        <v>0</v>
      </c>
      <c r="I277" s="1534"/>
      <c r="J277" s="1534"/>
      <c r="K277" s="1534"/>
      <c r="L277" s="1534"/>
      <c r="M277" s="1534"/>
      <c r="N277" s="1535"/>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2">
      <c r="C278" s="1523"/>
      <c r="D278" s="1523"/>
      <c r="E278" s="1523"/>
      <c r="F278" s="1523"/>
      <c r="G278" s="1523"/>
      <c r="H278" s="1523"/>
      <c r="I278" s="1523"/>
      <c r="J278" s="1523"/>
      <c r="K278" s="1523"/>
      <c r="L278" s="1523"/>
      <c r="M278" s="1523"/>
      <c r="N278" s="1523"/>
      <c r="O278" s="1111"/>
      <c r="P278" s="1106"/>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2">
      <c r="C279" s="1525"/>
      <c r="D279" s="1525"/>
      <c r="E279" s="1525"/>
      <c r="F279" s="1525"/>
      <c r="G279" s="1525"/>
      <c r="H279" s="1525"/>
      <c r="I279" s="1525"/>
      <c r="J279" s="1525"/>
      <c r="K279" s="1525"/>
      <c r="L279" s="1525"/>
      <c r="M279" s="1525"/>
      <c r="N279" s="1525"/>
      <c r="O279" s="1111"/>
      <c r="P279" s="1106"/>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2">
      <c r="D280" s="1526" t="str">
        <f>IF($Q$2=2,"Réconciliation détaillée du compte "&amp;F282&amp;" - "&amp;C282,"Detailed Reconciliation of the Account "&amp;F282&amp;" - "&amp;C282)</f>
        <v>Detailed Reconciliation of the Account 1230 - Disponible ~ Available</v>
      </c>
      <c r="E280" s="1526"/>
      <c r="F280" s="1526"/>
      <c r="G280" s="1526"/>
      <c r="H280" s="1526"/>
      <c r="I280" s="1526"/>
      <c r="J280" s="1526"/>
      <c r="K280" s="1526"/>
      <c r="L280" s="1526"/>
      <c r="M280" s="1526"/>
      <c r="N280" s="1113"/>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2">
      <c r="C281" s="1527" t="str">
        <f>IF($Q$2=2,"Réconciliation selon les livres comptables","Reconciliation as per BookKeeping")</f>
        <v>Reconciliation as per BookKeeping</v>
      </c>
      <c r="D281" s="1527"/>
      <c r="E281" s="1527"/>
      <c r="F281" s="1527"/>
      <c r="G281" s="1527"/>
      <c r="I281" s="1527" t="str">
        <f>IF($Q$2=2,"Réconciliation selon l'état de compte","Reconciliation as per Account Statement")</f>
        <v>Reconciliation as per Account Statement</v>
      </c>
      <c r="J281" s="1527"/>
      <c r="K281" s="1527"/>
      <c r="L281" s="1527"/>
      <c r="M281" s="1527"/>
      <c r="N281" s="1114"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25">
      <c r="C282" s="1528" t="str">
        <f>'Set up ~ Config'!G66</f>
        <v>Disponible ~ Available</v>
      </c>
      <c r="D282" s="1528"/>
      <c r="E282" s="1528"/>
      <c r="F282" s="1115" t="str">
        <f>LEFT('Set up ~ Config'!F66,4)</f>
        <v>1230</v>
      </c>
      <c r="G282" s="82"/>
      <c r="I282" s="1529"/>
      <c r="J282" s="1529"/>
      <c r="K282" s="1529"/>
      <c r="L282" s="1529"/>
      <c r="M282" s="1529"/>
      <c r="N282" s="1529"/>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25">
      <c r="C283" s="1530" t="str">
        <f>IF($Q$2=2,"Solde du compte au ","Account Balance on ")</f>
        <v xml:space="preserve">Account Balance on </v>
      </c>
      <c r="D283" s="1530"/>
      <c r="E283" s="1530"/>
      <c r="F283" s="1116">
        <f>DATEVALUE('Set up ~ Config'!$L$5)</f>
        <v>45535</v>
      </c>
      <c r="G283" s="1117">
        <f>'Set up ~ Config'!D66</f>
        <v>0</v>
      </c>
      <c r="H283" s="1"/>
      <c r="I283" s="1118" t="str">
        <f>IF($Q$2=2,"Date (aaaa-mm-jj):","Date (yyyy-mm-dd):")</f>
        <v>Date (yyyy-mm-dd):</v>
      </c>
      <c r="J283" s="957"/>
      <c r="K283" s="1531" t="str">
        <f>IF($Q$2=2,"Solde :","Balance :")</f>
        <v>Balance :</v>
      </c>
      <c r="L283" s="1532"/>
      <c r="M283" s="1533"/>
      <c r="N283" s="942"/>
      <c r="O283" s="1"/>
      <c r="P283" s="12"/>
      <c r="Q283" s="1542"/>
      <c r="R283" s="1542"/>
      <c r="S283" s="1542"/>
      <c r="BK283" s="187"/>
      <c r="BL283" s="187"/>
      <c r="BM283" s="187"/>
    </row>
    <row r="284" spans="3:65" ht="25.5" customHeight="1" thickTop="1" x14ac:dyDescent="0.2">
      <c r="C284" s="1536" t="str">
        <f>IF($Q$2=2,"Plus: Accroissements (Jrnl des revenus)","Plus: Increases (Revenue Jrnl)")</f>
        <v>Plus: Increases (Revenue Jrnl)</v>
      </c>
      <c r="D284" s="1536"/>
      <c r="E284" s="1536"/>
      <c r="F284" s="1536"/>
      <c r="G284" s="1117">
        <f>'Jrnl Rev'!G543</f>
        <v>0</v>
      </c>
      <c r="H284" s="1120"/>
      <c r="I284" s="1"/>
      <c r="J284" s="1"/>
      <c r="K284" s="1"/>
      <c r="L284" s="1"/>
      <c r="M284" s="1"/>
      <c r="N284" s="1"/>
      <c r="O284" s="1"/>
      <c r="P284" s="12"/>
      <c r="Q284" s="12"/>
      <c r="R284" s="12"/>
      <c r="S284" s="12"/>
    </row>
    <row r="285" spans="3:65" s="1" customFormat="1" ht="25.5" customHeight="1" x14ac:dyDescent="0.2">
      <c r="C285" s="1536" t="str">
        <f>IF($Q$2=2," Moins: Décroissements (Jrnl des dépenses)","Less: Decreases (Expense Jrnl)")</f>
        <v>Less: Decreases (Expense Jrnl)</v>
      </c>
      <c r="D285" s="1536"/>
      <c r="E285" s="1536"/>
      <c r="F285" s="1536"/>
      <c r="G285" s="1117">
        <f>'Jrnl Exp ~ Dép'!G543</f>
        <v>0</v>
      </c>
      <c r="I285" s="188"/>
      <c r="J285" s="188"/>
      <c r="K285" s="188"/>
      <c r="L285" s="188"/>
      <c r="M285" s="188"/>
      <c r="N285" s="1121"/>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2">
      <c r="C286" s="1538"/>
      <c r="D286" s="1538"/>
      <c r="E286" s="1538"/>
      <c r="F286" s="1538"/>
      <c r="H286" s="1120"/>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25">
      <c r="C287" s="1537" t="str">
        <f>IF($Q$2=2,F282&amp;" Fonds disponible du compte",F282&amp;" Account Available Funds")</f>
        <v>1230 Account Available Funds</v>
      </c>
      <c r="D287" s="1537"/>
      <c r="E287" s="1537"/>
      <c r="F287" s="1537"/>
      <c r="G287" s="1122"/>
      <c r="I287" s="18"/>
      <c r="J287" s="12"/>
      <c r="K287" s="12"/>
      <c r="L287" s="12"/>
      <c r="M287" s="12"/>
      <c r="N287" s="1123"/>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25">
      <c r="C288" s="1539" t="str">
        <f>IF($Q$2=2,"Solde reporté à la ligne "&amp;F282&amp;" du Bilan - page 7","This balance fwrd'd to line "&amp;F282&amp;" of Balance Sheet -  page 7")</f>
        <v>This balance fwrd'd to line 1230 of Balance Sheet -  page 7</v>
      </c>
      <c r="D288" s="1539"/>
      <c r="E288" s="1539"/>
      <c r="F288" s="1539"/>
      <c r="G288" s="1124">
        <f>IF(AND(SUM(G283+G284-G285)&lt;0.001,SUM(G283+G284-G285)&gt;-0.001),0,SUM(G283+G284-G285))</f>
        <v>0</v>
      </c>
      <c r="H288" s="605"/>
      <c r="J288" s="82"/>
      <c r="K288" s="82"/>
      <c r="L288" s="82"/>
      <c r="M288" s="1125"/>
      <c r="N288" s="1124">
        <f>N283</f>
        <v>0</v>
      </c>
      <c r="P288" s="12"/>
      <c r="Q288" s="12"/>
      <c r="R288" s="12"/>
      <c r="S288" s="12"/>
      <c r="T288" s="12"/>
      <c r="U288" s="1119"/>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25">
      <c r="F289" s="189"/>
      <c r="J289" s="1120"/>
      <c r="M289" s="1126"/>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25">
      <c r="C290" s="1524"/>
      <c r="D290" s="1524"/>
      <c r="E290" s="1524"/>
      <c r="F290" s="1524"/>
      <c r="G290" s="1127">
        <f>IF(AND(G288-N288&lt;0.001,G288-N288&gt;-0.001),0,G288-N288)</f>
        <v>0</v>
      </c>
      <c r="H290" s="1534">
        <f>IF($Q$2=2,IF(G290=0,$T$8,$T$5),IF(G290=0,$T$9,$T$7))</f>
        <v>0</v>
      </c>
      <c r="I290" s="1534"/>
      <c r="J290" s="1534"/>
      <c r="K290" s="1534"/>
      <c r="L290" s="1534"/>
      <c r="M290" s="1534"/>
      <c r="N290" s="1535"/>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2">
      <c r="C291" s="1523"/>
      <c r="D291" s="1523"/>
      <c r="E291" s="1523"/>
      <c r="F291" s="1523"/>
      <c r="G291" s="1523"/>
      <c r="H291" s="1523"/>
      <c r="I291" s="1523"/>
      <c r="J291" s="1523"/>
      <c r="K291" s="1523"/>
      <c r="L291" s="1523"/>
      <c r="M291" s="1523"/>
      <c r="N291" s="1523"/>
      <c r="O291" s="1111"/>
      <c r="P291" s="1106"/>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2">
      <c r="C292" s="1525"/>
      <c r="D292" s="1525"/>
      <c r="E292" s="1525"/>
      <c r="F292" s="1525"/>
      <c r="G292" s="1525"/>
      <c r="H292" s="1525"/>
      <c r="I292" s="1525"/>
      <c r="J292" s="1525"/>
      <c r="K292" s="1525"/>
      <c r="L292" s="1525"/>
      <c r="M292" s="1525"/>
      <c r="N292" s="1525"/>
      <c r="O292" s="1111"/>
      <c r="P292" s="1106"/>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2">
      <c r="D293" s="1526" t="str">
        <f>IF($Q$2=2,"Réconciliation détaillée du compte "&amp;F295&amp;" - "&amp;C295,"Detailed Reconciliation of the Account "&amp;F295&amp;" - "&amp;C295)</f>
        <v>Detailed Reconciliation of the Account 1240 - Disponible ~ Available</v>
      </c>
      <c r="E293" s="1526"/>
      <c r="F293" s="1526"/>
      <c r="G293" s="1526"/>
      <c r="H293" s="1526"/>
      <c r="I293" s="1526"/>
      <c r="J293" s="1526"/>
      <c r="K293" s="1526"/>
      <c r="L293" s="1526"/>
      <c r="M293" s="1526"/>
      <c r="N293" s="1113"/>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2">
      <c r="C294" s="1527" t="str">
        <f>IF($Q$2=2,"Réconciliation selon les livres comptables","Reconciliation as per BookKeeping")</f>
        <v>Reconciliation as per BookKeeping</v>
      </c>
      <c r="D294" s="1527"/>
      <c r="E294" s="1527"/>
      <c r="F294" s="1527"/>
      <c r="G294" s="1527"/>
      <c r="I294" s="1527" t="str">
        <f>IF($Q$2=2,"Réconciliation selon l'état de compte","Reconciliation as per Account Statement")</f>
        <v>Reconciliation as per Account Statement</v>
      </c>
      <c r="J294" s="1527"/>
      <c r="K294" s="1527"/>
      <c r="L294" s="1527"/>
      <c r="M294" s="1527"/>
      <c r="N294" s="1114"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25">
      <c r="C295" s="1528" t="str">
        <f>'Set up ~ Config'!G67</f>
        <v>Disponible ~ Available</v>
      </c>
      <c r="D295" s="1528"/>
      <c r="E295" s="1528"/>
      <c r="F295" s="1115" t="str">
        <f>LEFT('Set up ~ Config'!F67,4)</f>
        <v>1240</v>
      </c>
      <c r="G295" s="82"/>
      <c r="I295" s="1529"/>
      <c r="J295" s="1529"/>
      <c r="K295" s="1529"/>
      <c r="L295" s="1529"/>
      <c r="M295" s="1529"/>
      <c r="N295" s="1529"/>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25">
      <c r="C296" s="1530" t="str">
        <f>IF($Q$2=2,"Solde du compte au ","Account Balance on ")</f>
        <v xml:space="preserve">Account Balance on </v>
      </c>
      <c r="D296" s="1530"/>
      <c r="E296" s="1530"/>
      <c r="F296" s="1116">
        <f>DATEVALUE('Set up ~ Config'!$L$5)</f>
        <v>45535</v>
      </c>
      <c r="G296" s="1117">
        <f>'Set up ~ Config'!D67</f>
        <v>0</v>
      </c>
      <c r="I296" s="1118" t="str">
        <f>IF($Q$2=2,"Date (aaaa-mm-jj):","Date (yyyy-mm-dd):")</f>
        <v>Date (yyyy-mm-dd):</v>
      </c>
      <c r="J296" s="957"/>
      <c r="K296" s="1531" t="str">
        <f>IF($Q$2=2,"Solde :","Balance :")</f>
        <v>Balance :</v>
      </c>
      <c r="L296" s="1532"/>
      <c r="M296" s="1533"/>
      <c r="N296" s="942"/>
      <c r="P296" s="12"/>
      <c r="Q296" s="1542"/>
      <c r="R296" s="1542"/>
      <c r="S296" s="1542"/>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2">
      <c r="C297" s="1536" t="str">
        <f>IF($Q$2=2,"Plus: Accroissements (Jrnl des revenus)","Plus: Increases (Revenue Jrnl)")</f>
        <v>Plus: Increases (Revenue Jrnl)</v>
      </c>
      <c r="D297" s="1536"/>
      <c r="E297" s="1536"/>
      <c r="F297" s="1536"/>
      <c r="G297" s="1117">
        <f>'Jrnl Rev'!G544</f>
        <v>0</v>
      </c>
      <c r="H297" s="1120"/>
      <c r="I297" s="1"/>
      <c r="J297" s="1"/>
      <c r="K297" s="1"/>
      <c r="L297" s="1"/>
      <c r="M297" s="1"/>
      <c r="N297" s="1"/>
      <c r="O297" s="1"/>
      <c r="P297" s="12"/>
      <c r="Q297" s="12"/>
      <c r="R297" s="12"/>
      <c r="S297" s="12"/>
      <c r="BK297" s="187"/>
      <c r="BL297" s="187"/>
      <c r="BM297" s="187"/>
    </row>
    <row r="298" spans="3:65" ht="25.5" customHeight="1" x14ac:dyDescent="0.2">
      <c r="C298" s="1536" t="str">
        <f>IF($Q$2=2," Moins: Décroissements (Jrnl des dépenses)","Less: Decreases (Expense Jrnl)")</f>
        <v>Less: Decreases (Expense Jrnl)</v>
      </c>
      <c r="D298" s="1536"/>
      <c r="E298" s="1536"/>
      <c r="F298" s="1536"/>
      <c r="G298" s="1117">
        <f>'Jrnl Exp ~ Dép'!G544</f>
        <v>0</v>
      </c>
      <c r="H298" s="1"/>
      <c r="I298" s="188"/>
      <c r="J298" s="188"/>
      <c r="K298" s="188"/>
      <c r="L298" s="188"/>
      <c r="M298" s="188"/>
      <c r="N298" s="1121"/>
      <c r="O298" s="1"/>
      <c r="P298" s="12"/>
      <c r="Q298" s="12"/>
      <c r="R298" s="12"/>
      <c r="S298" s="12"/>
    </row>
    <row r="299" spans="3:65" s="1" customFormat="1" ht="25.5" customHeight="1" x14ac:dyDescent="0.2">
      <c r="C299" s="1538"/>
      <c r="D299" s="1538"/>
      <c r="E299" s="1538"/>
      <c r="F299" s="1538"/>
      <c r="H299" s="1120"/>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25">
      <c r="C300" s="1537" t="str">
        <f>IF($Q$2=2,F295&amp;" Fonds disponible du compte",F295&amp;" Account Available Funds")</f>
        <v>1240 Account Available Funds</v>
      </c>
      <c r="D300" s="1537"/>
      <c r="E300" s="1537"/>
      <c r="F300" s="1537"/>
      <c r="G300" s="1122"/>
      <c r="I300" s="18"/>
      <c r="J300" s="12"/>
      <c r="K300" s="12"/>
      <c r="L300" s="12"/>
      <c r="M300" s="12"/>
      <c r="N300" s="1123"/>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25">
      <c r="C301" s="1539" t="str">
        <f>IF($Q$2=2,"Solde reporté à la ligne "&amp;F295&amp;" du Bilan - page 7","This balance fwrd'd to line "&amp;F295&amp;" of Balance Sheet -  page 7")</f>
        <v>This balance fwrd'd to line 1240 of Balance Sheet -  page 7</v>
      </c>
      <c r="D301" s="1539"/>
      <c r="E301" s="1539"/>
      <c r="F301" s="1539"/>
      <c r="G301" s="1124">
        <f>IF(AND(SUM(G296+G297-G298)&lt;0.001,SUM(G296+G297-G298)&gt;-0.001),0,SUM(G296+G297-G298))</f>
        <v>0</v>
      </c>
      <c r="H301" s="605"/>
      <c r="J301" s="82"/>
      <c r="K301" s="82"/>
      <c r="L301" s="82"/>
      <c r="M301" s="1125"/>
      <c r="N301" s="1124">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25">
      <c r="F302" s="189"/>
      <c r="J302" s="1120"/>
      <c r="M302" s="1126"/>
      <c r="P302" s="12"/>
      <c r="Q302" s="12"/>
      <c r="R302" s="12"/>
      <c r="S302" s="12"/>
      <c r="T302" s="12"/>
      <c r="U302" s="1119"/>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25">
      <c r="C303" s="1524"/>
      <c r="D303" s="1524"/>
      <c r="E303" s="1524"/>
      <c r="F303" s="1524"/>
      <c r="G303" s="1127">
        <f>IF(AND(G301-N301&lt;0.001,G301-N301&gt;-0.001),0,G301-N301)</f>
        <v>0</v>
      </c>
      <c r="H303" s="1534">
        <f>IF($Q$2=2,IF(G303=0,$T$8,$T$5),IF(G303=0,$T$9,$T$7))</f>
        <v>0</v>
      </c>
      <c r="I303" s="1534"/>
      <c r="J303" s="1534"/>
      <c r="K303" s="1534"/>
      <c r="L303" s="1534"/>
      <c r="M303" s="1534"/>
      <c r="N303" s="1535"/>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2">
      <c r="C304" s="1523"/>
      <c r="D304" s="1523"/>
      <c r="E304" s="1523"/>
      <c r="F304" s="1523"/>
      <c r="G304" s="1523"/>
      <c r="H304" s="1523"/>
      <c r="I304" s="1523"/>
      <c r="J304" s="1523"/>
      <c r="K304" s="1523"/>
      <c r="L304" s="1523"/>
      <c r="M304" s="1523"/>
      <c r="N304" s="1523"/>
      <c r="O304" s="1111"/>
      <c r="P304" s="1106"/>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2">
      <c r="C305" s="1525"/>
      <c r="D305" s="1525"/>
      <c r="E305" s="1525"/>
      <c r="F305" s="1525"/>
      <c r="G305" s="1525"/>
      <c r="H305" s="1525"/>
      <c r="I305" s="1525"/>
      <c r="J305" s="1525"/>
      <c r="K305" s="1525"/>
      <c r="L305" s="1525"/>
      <c r="M305" s="1525"/>
      <c r="N305" s="1525"/>
      <c r="O305" s="1111"/>
      <c r="P305" s="1106"/>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2">
      <c r="D306" s="1526" t="str">
        <f>IF($Q$2=2,"Réconciliation détaillée du compte "&amp;F308&amp;" - "&amp;C308,"Detailed Reconciliation of the Account "&amp;F308&amp;" - "&amp;C308)</f>
        <v>Detailed Reconciliation of the Account 1250 - Disponible ~ Available</v>
      </c>
      <c r="E306" s="1526"/>
      <c r="F306" s="1526"/>
      <c r="G306" s="1526"/>
      <c r="H306" s="1526"/>
      <c r="I306" s="1526"/>
      <c r="J306" s="1526"/>
      <c r="K306" s="1526"/>
      <c r="L306" s="1526"/>
      <c r="M306" s="1526"/>
      <c r="N306" s="1113"/>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2">
      <c r="C307" s="1527" t="str">
        <f>IF($Q$2=2,"Réconciliation selon les livres comptables","Reconciliation as per BookKeeping")</f>
        <v>Reconciliation as per BookKeeping</v>
      </c>
      <c r="D307" s="1527"/>
      <c r="E307" s="1527"/>
      <c r="F307" s="1527"/>
      <c r="G307" s="1527"/>
      <c r="I307" s="1527" t="str">
        <f>IF($Q$2=2,"Réconciliation selon l'état de compte","Reconciliation as per Account Statement")</f>
        <v>Reconciliation as per Account Statement</v>
      </c>
      <c r="J307" s="1527"/>
      <c r="K307" s="1527"/>
      <c r="L307" s="1527"/>
      <c r="M307" s="1527"/>
      <c r="N307" s="1114"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25">
      <c r="C308" s="1528" t="str">
        <f>'Set up ~ Config'!G68</f>
        <v>Disponible ~ Available</v>
      </c>
      <c r="D308" s="1528"/>
      <c r="E308" s="1528"/>
      <c r="F308" s="1115" t="str">
        <f>LEFT('Set up ~ Config'!F68,4)</f>
        <v>1250</v>
      </c>
      <c r="G308" s="82"/>
      <c r="I308" s="1529"/>
      <c r="J308" s="1529"/>
      <c r="K308" s="1529"/>
      <c r="L308" s="1529"/>
      <c r="M308" s="1529"/>
      <c r="N308" s="1529"/>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25">
      <c r="C309" s="1530" t="str">
        <f>IF($Q$2=2,"Solde du compte au ","Account Balance on ")</f>
        <v xml:space="preserve">Account Balance on </v>
      </c>
      <c r="D309" s="1530"/>
      <c r="E309" s="1530"/>
      <c r="F309" s="1116">
        <f>DATEVALUE('Set up ~ Config'!$L$5)</f>
        <v>45535</v>
      </c>
      <c r="G309" s="1117">
        <f>'Set up ~ Config'!D68</f>
        <v>0</v>
      </c>
      <c r="I309" s="1118" t="str">
        <f>IF($Q$2=2,"Date (aaaa-mm-jj):","Date (yyyy-mm-dd):")</f>
        <v>Date (yyyy-mm-dd):</v>
      </c>
      <c r="J309" s="957"/>
      <c r="K309" s="1531" t="str">
        <f>IF($Q$2=2,"Solde :","Balance :")</f>
        <v>Balance :</v>
      </c>
      <c r="L309" s="1532"/>
      <c r="M309" s="1533"/>
      <c r="N309" s="942"/>
      <c r="P309" s="12"/>
      <c r="Q309" s="1542"/>
      <c r="R309" s="1542"/>
      <c r="S309" s="1542"/>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2">
      <c r="C310" s="1536" t="str">
        <f>IF($Q$2=2,"Plus: Accroissements (Jrnl des revenus)","Plus: Increases (Revenue Jrnl)")</f>
        <v>Plus: Increases (Revenue Jrnl)</v>
      </c>
      <c r="D310" s="1536"/>
      <c r="E310" s="1536"/>
      <c r="F310" s="1536"/>
      <c r="G310" s="1117">
        <f>'Jrnl Rev'!G545</f>
        <v>0</v>
      </c>
      <c r="H310" s="1120"/>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2">
      <c r="C311" s="1536" t="str">
        <f>IF($Q$2=2," Moins: Décroissements (Jrnl des dépenses)","Less: Decreases (Expense Jrnl)")</f>
        <v>Less: Decreases (Expense Jrnl)</v>
      </c>
      <c r="D311" s="1536"/>
      <c r="E311" s="1536"/>
      <c r="F311" s="1536"/>
      <c r="G311" s="1117">
        <f>'Jrnl Exp ~ Dép'!G545</f>
        <v>0</v>
      </c>
      <c r="H311" s="1"/>
      <c r="I311" s="188"/>
      <c r="J311" s="188"/>
      <c r="K311" s="188"/>
      <c r="L311" s="188"/>
      <c r="M311" s="188"/>
      <c r="N311" s="1121"/>
      <c r="O311" s="1"/>
      <c r="P311" s="12"/>
      <c r="Q311" s="12"/>
      <c r="R311" s="12"/>
      <c r="S311" s="12"/>
      <c r="BK311" s="187"/>
      <c r="BL311" s="187"/>
      <c r="BM311" s="187"/>
    </row>
    <row r="312" spans="3:65" ht="25.5" customHeight="1" x14ac:dyDescent="0.2">
      <c r="C312" s="1538"/>
      <c r="D312" s="1538"/>
      <c r="E312" s="1538"/>
      <c r="F312" s="1538"/>
      <c r="G312" s="1"/>
      <c r="H312" s="1120"/>
      <c r="I312" s="1"/>
      <c r="J312" s="1"/>
      <c r="K312" s="1"/>
      <c r="L312" s="1"/>
      <c r="M312" s="1"/>
      <c r="N312" s="1"/>
      <c r="O312" s="1"/>
      <c r="P312" s="12"/>
      <c r="Q312" s="12"/>
      <c r="R312" s="12"/>
      <c r="S312" s="12"/>
    </row>
    <row r="313" spans="3:65" s="1" customFormat="1" ht="25.5" customHeight="1" thickBot="1" x14ac:dyDescent="0.25">
      <c r="C313" s="1537" t="str">
        <f>IF($Q$2=2,F308&amp;" Fonds disponible du compte",F308&amp;" Account Available Funds")</f>
        <v>1250 Account Available Funds</v>
      </c>
      <c r="D313" s="1537"/>
      <c r="E313" s="1537"/>
      <c r="F313" s="1537"/>
      <c r="G313" s="1122"/>
      <c r="I313" s="18"/>
      <c r="J313" s="12"/>
      <c r="K313" s="12"/>
      <c r="L313" s="12"/>
      <c r="M313" s="12"/>
      <c r="N313" s="1123"/>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25">
      <c r="C314" s="1539" t="str">
        <f>IF($Q$2=2,"Solde reporté à la ligne "&amp;F308&amp;" du Bilan - page 7","This balance fwrd'd to line "&amp;F308&amp;" of Balance Sheet -  page 7")</f>
        <v>This balance fwrd'd to line 1250 of Balance Sheet -  page 7</v>
      </c>
      <c r="D314" s="1539"/>
      <c r="E314" s="1539"/>
      <c r="F314" s="1539"/>
      <c r="G314" s="1124">
        <f>IF(AND(SUM(G309+G310-G311)&lt;0.001,SUM(G309+G310-G311)&gt;-0.001),0,SUM(G309+G310-G311))</f>
        <v>0</v>
      </c>
      <c r="H314" s="605"/>
      <c r="J314" s="82"/>
      <c r="K314" s="82"/>
      <c r="L314" s="82"/>
      <c r="M314" s="1125"/>
      <c r="N314" s="1124">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25">
      <c r="F315" s="189"/>
      <c r="J315" s="1120"/>
      <c r="M315" s="1126"/>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25">
      <c r="C316" s="1524"/>
      <c r="D316" s="1524"/>
      <c r="E316" s="1524"/>
      <c r="F316" s="1524"/>
      <c r="G316" s="1127">
        <f>IF(AND(G314-N314&lt;0.001,G314-N314&gt;-0.001),0,G314-N314)</f>
        <v>0</v>
      </c>
      <c r="H316" s="1534">
        <f>IF($Q$2=2,IF(G316=0,$T$8,$T$5),IF(G316=0,$T$9,$T$7))</f>
        <v>0</v>
      </c>
      <c r="I316" s="1534"/>
      <c r="J316" s="1534"/>
      <c r="K316" s="1534"/>
      <c r="L316" s="1534"/>
      <c r="M316" s="1534"/>
      <c r="N316" s="1535"/>
      <c r="P316" s="12"/>
      <c r="Q316" s="12"/>
      <c r="R316" s="12"/>
      <c r="S316" s="12"/>
      <c r="T316" s="12"/>
      <c r="U316" s="1119"/>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2">
      <c r="C317" s="1523"/>
      <c r="D317" s="1523"/>
      <c r="E317" s="1523"/>
      <c r="F317" s="1523"/>
      <c r="G317" s="1523"/>
      <c r="H317" s="1523"/>
      <c r="I317" s="1523"/>
      <c r="J317" s="1523"/>
      <c r="K317" s="1523"/>
      <c r="L317" s="1523"/>
      <c r="M317" s="1523"/>
      <c r="N317" s="1523"/>
      <c r="O317" s="1111"/>
      <c r="P317" s="1106"/>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2">
      <c r="C318" s="1525"/>
      <c r="D318" s="1525"/>
      <c r="E318" s="1525"/>
      <c r="F318" s="1525"/>
      <c r="G318" s="1525"/>
      <c r="H318" s="1525"/>
      <c r="I318" s="1525"/>
      <c r="J318" s="1525"/>
      <c r="K318" s="1525"/>
      <c r="L318" s="1525"/>
      <c r="M318" s="1525"/>
      <c r="N318" s="1525"/>
      <c r="O318" s="1111"/>
      <c r="P318" s="1106"/>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2">
      <c r="D319" s="1526" t="str">
        <f>IF($Q$2=2,"Réconciliation détaillée du compte "&amp;F321&amp;" - "&amp;C321,"Detailed Reconciliation of the Account "&amp;F321&amp;" - "&amp;C321)</f>
        <v>Detailed Reconciliation of the Account 1260 - Disponible ~ Available</v>
      </c>
      <c r="E319" s="1526"/>
      <c r="F319" s="1526"/>
      <c r="G319" s="1526"/>
      <c r="H319" s="1526"/>
      <c r="I319" s="1526"/>
      <c r="J319" s="1526"/>
      <c r="K319" s="1526"/>
      <c r="L319" s="1526"/>
      <c r="M319" s="1526"/>
      <c r="N319" s="1113"/>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2">
      <c r="C320" s="1527" t="str">
        <f>IF($Q$2=2,"Réconciliation selon les livres comptables","Reconciliation as per BookKeeping")</f>
        <v>Reconciliation as per BookKeeping</v>
      </c>
      <c r="D320" s="1527"/>
      <c r="E320" s="1527"/>
      <c r="F320" s="1527"/>
      <c r="G320" s="1527"/>
      <c r="I320" s="1527" t="str">
        <f>IF($Q$2=2,"Réconciliation selon l'état de compte","Reconciliation as per Account Statement")</f>
        <v>Reconciliation as per Account Statement</v>
      </c>
      <c r="J320" s="1527"/>
      <c r="K320" s="1527"/>
      <c r="L320" s="1527"/>
      <c r="M320" s="1527"/>
      <c r="N320" s="1114"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25">
      <c r="C321" s="1528" t="str">
        <f>'Set up ~ Config'!G69</f>
        <v>Disponible ~ Available</v>
      </c>
      <c r="D321" s="1528"/>
      <c r="E321" s="1528"/>
      <c r="F321" s="1115" t="str">
        <f>LEFT('Set up ~ Config'!F69,4)</f>
        <v>1260</v>
      </c>
      <c r="G321" s="82"/>
      <c r="I321" s="1529"/>
      <c r="J321" s="1529"/>
      <c r="K321" s="1529"/>
      <c r="L321" s="1529"/>
      <c r="M321" s="1529"/>
      <c r="N321" s="1529"/>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25">
      <c r="C322" s="1530" t="str">
        <f>IF($Q$2=2,"Solde du compte au ","Account Balance on ")</f>
        <v xml:space="preserve">Account Balance on </v>
      </c>
      <c r="D322" s="1530"/>
      <c r="E322" s="1530"/>
      <c r="F322" s="1116">
        <f>DATEVALUE('Set up ~ Config'!$L$5)</f>
        <v>45535</v>
      </c>
      <c r="G322" s="1117">
        <f>'Set up ~ Config'!D69</f>
        <v>0</v>
      </c>
      <c r="I322" s="1118" t="str">
        <f>IF($Q$2=2,"Date (aaaa-mm-jj):","Date (yyyy-mm-dd):")</f>
        <v>Date (yyyy-mm-dd):</v>
      </c>
      <c r="J322" s="957"/>
      <c r="K322" s="1531" t="str">
        <f>IF($Q$2=2,"Solde :","Balance :")</f>
        <v>Balance :</v>
      </c>
      <c r="L322" s="1532"/>
      <c r="M322" s="1533"/>
      <c r="N322" s="942"/>
      <c r="P322" s="12"/>
      <c r="Q322" s="1542"/>
      <c r="R322" s="1542"/>
      <c r="S322" s="1542"/>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2">
      <c r="C323" s="1536" t="str">
        <f>IF($Q$2=2,"Plus: Accroissements (Jrnl des revenus)","Plus: Increases (Revenue Jrnl)")</f>
        <v>Plus: Increases (Revenue Jrnl)</v>
      </c>
      <c r="D323" s="1536"/>
      <c r="E323" s="1536"/>
      <c r="F323" s="1536"/>
      <c r="G323" s="1117">
        <f>'Jrnl Rev'!G546</f>
        <v>0</v>
      </c>
      <c r="H323" s="1120"/>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2">
      <c r="C324" s="1536" t="str">
        <f>IF($Q$2=2," Moins: Décroissements (Jrnl des dépenses)","Less: Decreases (Expense Jrnl)")</f>
        <v>Less: Decreases (Expense Jrnl)</v>
      </c>
      <c r="D324" s="1536"/>
      <c r="E324" s="1536"/>
      <c r="F324" s="1536"/>
      <c r="G324" s="1117">
        <f>'Jrnl Exp ~ Dép'!G546</f>
        <v>0</v>
      </c>
      <c r="I324" s="188"/>
      <c r="J324" s="188"/>
      <c r="K324" s="188"/>
      <c r="L324" s="188"/>
      <c r="M324" s="188"/>
      <c r="N324" s="1121"/>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2">
      <c r="C325" s="1538"/>
      <c r="D325" s="1538"/>
      <c r="E325" s="1538"/>
      <c r="F325" s="1538"/>
      <c r="G325" s="1"/>
      <c r="H325" s="1120"/>
      <c r="I325" s="1"/>
      <c r="J325" s="1"/>
      <c r="K325" s="1"/>
      <c r="L325" s="1"/>
      <c r="M325" s="1"/>
      <c r="N325" s="1"/>
      <c r="O325" s="1"/>
      <c r="P325" s="12"/>
      <c r="Q325" s="12"/>
      <c r="R325" s="12"/>
      <c r="S325" s="12"/>
      <c r="BK325" s="187"/>
      <c r="BL325" s="187"/>
      <c r="BM325" s="187"/>
    </row>
    <row r="326" spans="3:65" ht="25.5" customHeight="1" thickBot="1" x14ac:dyDescent="0.25">
      <c r="C326" s="1537" t="str">
        <f>IF($Q$2=2,F321&amp;" Fonds disponible du compte",F321&amp;" Account Available Funds")</f>
        <v>1260 Account Available Funds</v>
      </c>
      <c r="D326" s="1537"/>
      <c r="E326" s="1537"/>
      <c r="F326" s="1537"/>
      <c r="G326" s="1122"/>
      <c r="H326" s="1"/>
      <c r="I326" s="18"/>
      <c r="J326" s="12"/>
      <c r="K326" s="12"/>
      <c r="L326" s="12"/>
      <c r="M326" s="12"/>
      <c r="N326" s="1123"/>
      <c r="O326" s="1"/>
      <c r="P326" s="12"/>
      <c r="Q326" s="12"/>
      <c r="R326" s="12"/>
      <c r="S326" s="12"/>
    </row>
    <row r="327" spans="3:65" s="1" customFormat="1" ht="25.5" customHeight="1" thickBot="1" x14ac:dyDescent="0.25">
      <c r="C327" s="1539" t="str">
        <f>IF($Q$2=2,"Solde reporté à la ligne "&amp;F321&amp;" du Bilan - page 7","This balance fwrd'd to line "&amp;F321&amp;" of Balance Sheet -  page 7")</f>
        <v>This balance fwrd'd to line 1260 of Balance Sheet -  page 7</v>
      </c>
      <c r="D327" s="1539"/>
      <c r="E327" s="1539"/>
      <c r="F327" s="1539"/>
      <c r="G327" s="1124">
        <f>IF(AND(SUM(G322+G323-G324)&lt;0.001,SUM(G322+G323-G324)&gt;-0.001),0,SUM(G322+G323-G324))</f>
        <v>0</v>
      </c>
      <c r="H327" s="605"/>
      <c r="J327" s="82"/>
      <c r="K327" s="82"/>
      <c r="L327" s="82"/>
      <c r="M327" s="1125"/>
      <c r="N327" s="1124">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25">
      <c r="F328" s="189"/>
      <c r="J328" s="1120"/>
      <c r="M328" s="1126"/>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25">
      <c r="C329" s="1524"/>
      <c r="D329" s="1524"/>
      <c r="E329" s="1524"/>
      <c r="F329" s="1524"/>
      <c r="G329" s="1127">
        <f>IF(AND(G327-N327&lt;0.001,G327-N327&gt;-0.001),0,G327-N327)</f>
        <v>0</v>
      </c>
      <c r="H329" s="1534">
        <f>IF($Q$2=2,IF(G329=0,$T$8,$T$5),IF(G329=0,$T$9,$T$7))</f>
        <v>0</v>
      </c>
      <c r="I329" s="1534"/>
      <c r="J329" s="1534"/>
      <c r="K329" s="1534"/>
      <c r="L329" s="1534"/>
      <c r="M329" s="1534"/>
      <c r="N329" s="1535"/>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2">
      <c r="C330" s="1523"/>
      <c r="D330" s="1523"/>
      <c r="E330" s="1523"/>
      <c r="F330" s="1523"/>
      <c r="G330" s="1523"/>
      <c r="H330" s="1523"/>
      <c r="I330" s="1523"/>
      <c r="J330" s="1523"/>
      <c r="K330" s="1523"/>
      <c r="L330" s="1523"/>
      <c r="M330" s="1523"/>
      <c r="N330" s="1523"/>
      <c r="O330" s="1111"/>
      <c r="P330" s="1106"/>
      <c r="R330" s="12"/>
      <c r="S330" s="12"/>
      <c r="T330" s="12"/>
      <c r="U330" s="1119"/>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2">
      <c r="C331" s="1525"/>
      <c r="D331" s="1525"/>
      <c r="E331" s="1525"/>
      <c r="F331" s="1525"/>
      <c r="G331" s="1525"/>
      <c r="H331" s="1525"/>
      <c r="I331" s="1525"/>
      <c r="J331" s="1525"/>
      <c r="K331" s="1525"/>
      <c r="L331" s="1525"/>
      <c r="M331" s="1525"/>
      <c r="N331" s="1525"/>
      <c r="O331" s="1111"/>
      <c r="P331" s="1106"/>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2">
      <c r="D332" s="1526" t="str">
        <f>IF($Q$2=2,"Réconciliation détaillée du compte "&amp;F334&amp;" - "&amp;C334,"Detailed Reconciliation of the Account "&amp;F334&amp;" - "&amp;C334)</f>
        <v>Detailed Reconciliation of the Account 1270 - Disponible ~ Available</v>
      </c>
      <c r="E332" s="1526"/>
      <c r="F332" s="1526"/>
      <c r="G332" s="1526"/>
      <c r="H332" s="1526"/>
      <c r="I332" s="1526"/>
      <c r="J332" s="1526"/>
      <c r="K332" s="1526"/>
      <c r="L332" s="1526"/>
      <c r="M332" s="1526"/>
      <c r="N332" s="1113"/>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2">
      <c r="C333" s="1527" t="str">
        <f>IF($Q$2=2,"Réconciliation selon les livres comptables","Reconciliation as per BookKeeping")</f>
        <v>Reconciliation as per BookKeeping</v>
      </c>
      <c r="D333" s="1527"/>
      <c r="E333" s="1527"/>
      <c r="F333" s="1527"/>
      <c r="G333" s="1527"/>
      <c r="I333" s="1527" t="str">
        <f>IF($Q$2=2,"Réconciliation selon l'état de compte","Reconciliation as per Account Statement")</f>
        <v>Reconciliation as per Account Statement</v>
      </c>
      <c r="J333" s="1527"/>
      <c r="K333" s="1527"/>
      <c r="L333" s="1527"/>
      <c r="M333" s="1527"/>
      <c r="N333" s="1114"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25">
      <c r="C334" s="1528" t="str">
        <f>'Set up ~ Config'!G70</f>
        <v>Disponible ~ Available</v>
      </c>
      <c r="D334" s="1528"/>
      <c r="E334" s="1528"/>
      <c r="F334" s="1115" t="str">
        <f>LEFT('Set up ~ Config'!F70,4)</f>
        <v>1270</v>
      </c>
      <c r="G334" s="82"/>
      <c r="I334" s="1529"/>
      <c r="J334" s="1529"/>
      <c r="K334" s="1529"/>
      <c r="L334" s="1529"/>
      <c r="M334" s="1529"/>
      <c r="N334" s="1529"/>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25">
      <c r="C335" s="1530" t="str">
        <f>IF($Q$2=2,"Solde du compte au ","Account Balance on ")</f>
        <v xml:space="preserve">Account Balance on </v>
      </c>
      <c r="D335" s="1530"/>
      <c r="E335" s="1530"/>
      <c r="F335" s="1116">
        <f>DATEVALUE('Set up ~ Config'!$L$5)</f>
        <v>45535</v>
      </c>
      <c r="G335" s="1117">
        <f>'Set up ~ Config'!D70</f>
        <v>0</v>
      </c>
      <c r="I335" s="1118" t="str">
        <f>IF($Q$2=2,"Date (aaaa-mm-jj):","Date (yyyy-mm-dd):")</f>
        <v>Date (yyyy-mm-dd):</v>
      </c>
      <c r="J335" s="957"/>
      <c r="K335" s="1531" t="str">
        <f>IF($Q$2=2,"Solde :","Balance :")</f>
        <v>Balance :</v>
      </c>
      <c r="L335" s="1532"/>
      <c r="M335" s="1533"/>
      <c r="N335" s="942"/>
      <c r="P335" s="12"/>
      <c r="Q335" s="1542"/>
      <c r="R335" s="1542"/>
      <c r="S335" s="1542"/>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2">
      <c r="C336" s="1536" t="str">
        <f>IF($Q$2=2,"Plus: Accroissements (Jrnl des revenus)","Plus: Increases (Revenue Jrnl)")</f>
        <v>Plus: Increases (Revenue Jrnl)</v>
      </c>
      <c r="D336" s="1536"/>
      <c r="E336" s="1536"/>
      <c r="F336" s="1536"/>
      <c r="G336" s="1117">
        <f>'Jrnl Rev'!G547</f>
        <v>0</v>
      </c>
      <c r="H336" s="1120"/>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2">
      <c r="C337" s="1536" t="str">
        <f>IF($Q$2=2," Moins: Décroissements (Jrnl des dépenses)","Less: Decreases (Expense Jrnl)")</f>
        <v>Less: Decreases (Expense Jrnl)</v>
      </c>
      <c r="D337" s="1536"/>
      <c r="E337" s="1536"/>
      <c r="F337" s="1536"/>
      <c r="G337" s="1117">
        <f>'Jrnl Exp ~ Dép'!G547</f>
        <v>0</v>
      </c>
      <c r="I337" s="188"/>
      <c r="J337" s="188"/>
      <c r="K337" s="188"/>
      <c r="L337" s="188"/>
      <c r="M337" s="188"/>
      <c r="N337" s="1121"/>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2">
      <c r="C338" s="1538"/>
      <c r="D338" s="1538"/>
      <c r="E338" s="1538"/>
      <c r="F338" s="1538"/>
      <c r="H338" s="1120"/>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25">
      <c r="C339" s="1537" t="str">
        <f>IF($Q$2=2,F334&amp;" Fonds disponible du compte",F334&amp;" Account Available Funds")</f>
        <v>1270 Account Available Funds</v>
      </c>
      <c r="D339" s="1537"/>
      <c r="E339" s="1537"/>
      <c r="F339" s="1537"/>
      <c r="G339" s="1122"/>
      <c r="H339" s="1"/>
      <c r="I339" s="18"/>
      <c r="J339" s="12"/>
      <c r="K339" s="12"/>
      <c r="L339" s="12"/>
      <c r="M339" s="12"/>
      <c r="N339" s="1123"/>
      <c r="O339" s="1"/>
      <c r="P339" s="12"/>
      <c r="Q339" s="12"/>
      <c r="R339" s="12"/>
      <c r="S339" s="12"/>
      <c r="BK339" s="187"/>
      <c r="BL339" s="187"/>
      <c r="BM339" s="187"/>
    </row>
    <row r="340" spans="3:65" ht="25.5" customHeight="1" thickBot="1" x14ac:dyDescent="0.25">
      <c r="C340" s="1539" t="str">
        <f>IF($Q$2=2,"Solde reporté à la ligne "&amp;F334&amp;" du Bilan - page 7","This balance fwrd'd to line "&amp;F334&amp;" of Balance Sheet -  page 7")</f>
        <v>This balance fwrd'd to line 1270 of Balance Sheet -  page 7</v>
      </c>
      <c r="D340" s="1539"/>
      <c r="E340" s="1539"/>
      <c r="F340" s="1539"/>
      <c r="G340" s="1124">
        <f>IF(AND(SUM(G335+G336-G337)&lt;0.001,SUM(G335+G336-G337)&gt;-0.001),0,SUM(G335+G336-G337))</f>
        <v>0</v>
      </c>
      <c r="H340" s="605"/>
      <c r="I340" s="1"/>
      <c r="J340" s="82"/>
      <c r="K340" s="82"/>
      <c r="L340" s="82"/>
      <c r="M340" s="1125"/>
      <c r="N340" s="1124">
        <f>N335</f>
        <v>0</v>
      </c>
      <c r="O340" s="1"/>
      <c r="P340" s="12"/>
      <c r="Q340" s="12"/>
      <c r="R340" s="12"/>
      <c r="S340" s="12"/>
    </row>
    <row r="341" spans="3:65" s="1" customFormat="1" ht="9.75" customHeight="1" thickBot="1" x14ac:dyDescent="0.25">
      <c r="F341" s="189"/>
      <c r="J341" s="1120"/>
      <c r="M341" s="1126"/>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25">
      <c r="C342" s="1524"/>
      <c r="D342" s="1524"/>
      <c r="E342" s="1524"/>
      <c r="F342" s="1524"/>
      <c r="G342" s="1127">
        <f>IF(AND(G340-N340&lt;0.001,G340-N340&gt;-0.001),0,G340-N340)</f>
        <v>0</v>
      </c>
      <c r="H342" s="1534">
        <f>IF($Q$2=2,IF(G342=0,$T$8,$T$5),IF(G342=0,$T$9,$T$7))</f>
        <v>0</v>
      </c>
      <c r="I342" s="1534"/>
      <c r="J342" s="1534"/>
      <c r="K342" s="1534"/>
      <c r="L342" s="1534"/>
      <c r="M342" s="1534"/>
      <c r="N342" s="1535"/>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2">
      <c r="C343" s="1523"/>
      <c r="D343" s="1523"/>
      <c r="E343" s="1523"/>
      <c r="F343" s="1523"/>
      <c r="G343" s="1523"/>
      <c r="H343" s="1523"/>
      <c r="I343" s="1523"/>
      <c r="J343" s="1523"/>
      <c r="K343" s="1523"/>
      <c r="L343" s="1523"/>
      <c r="M343" s="1523"/>
      <c r="N343" s="1523"/>
      <c r="O343" s="1111"/>
      <c r="P343" s="1106"/>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2">
      <c r="C344" s="1525"/>
      <c r="D344" s="1525"/>
      <c r="E344" s="1525"/>
      <c r="F344" s="1525"/>
      <c r="G344" s="1525"/>
      <c r="H344" s="1525"/>
      <c r="I344" s="1525"/>
      <c r="J344" s="1525"/>
      <c r="K344" s="1525"/>
      <c r="L344" s="1525"/>
      <c r="M344" s="1525"/>
      <c r="N344" s="1525"/>
      <c r="O344" s="1111"/>
      <c r="P344" s="1106"/>
      <c r="R344" s="12"/>
      <c r="S344" s="12"/>
      <c r="T344" s="12"/>
      <c r="U344" s="1119"/>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2">
      <c r="D345" s="1526" t="str">
        <f>IF($Q$2=2,"Réconciliation détaillée du compte "&amp;F347&amp;" - "&amp;C347,"Detailed Reconciliation of the Account "&amp;F347&amp;" - "&amp;C347)</f>
        <v>Detailed Reconciliation of the Account 1280 - Disponible ~ Available</v>
      </c>
      <c r="E345" s="1526"/>
      <c r="F345" s="1526"/>
      <c r="G345" s="1526"/>
      <c r="H345" s="1526"/>
      <c r="I345" s="1526"/>
      <c r="J345" s="1526"/>
      <c r="K345" s="1526"/>
      <c r="L345" s="1526"/>
      <c r="M345" s="1526"/>
      <c r="N345" s="1113"/>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2">
      <c r="C346" s="1527" t="str">
        <f>IF($Q$2=2,"Réconciliation selon les livres comptables","Reconciliation as per BookKeeping")</f>
        <v>Reconciliation as per BookKeeping</v>
      </c>
      <c r="D346" s="1527"/>
      <c r="E346" s="1527"/>
      <c r="F346" s="1527"/>
      <c r="G346" s="1527"/>
      <c r="I346" s="1527" t="str">
        <f>IF($Q$2=2,"Réconciliation selon l'état de compte","Reconciliation as per Account Statement")</f>
        <v>Reconciliation as per Account Statement</v>
      </c>
      <c r="J346" s="1527"/>
      <c r="K346" s="1527"/>
      <c r="L346" s="1527"/>
      <c r="M346" s="1527"/>
      <c r="N346" s="1114"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25">
      <c r="C347" s="1528" t="str">
        <f>'Set up ~ Config'!G71</f>
        <v>Disponible ~ Available</v>
      </c>
      <c r="D347" s="1528"/>
      <c r="E347" s="1528"/>
      <c r="F347" s="1115" t="str">
        <f>LEFT('Set up ~ Config'!F71,4)</f>
        <v>1280</v>
      </c>
      <c r="G347" s="82"/>
      <c r="I347" s="1529"/>
      <c r="J347" s="1529"/>
      <c r="K347" s="1529"/>
      <c r="L347" s="1529"/>
      <c r="M347" s="1529"/>
      <c r="N347" s="1529"/>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25">
      <c r="C348" s="1530" t="str">
        <f>IF($Q$2=2,"Solde du compte au ","Account Balance on ")</f>
        <v xml:space="preserve">Account Balance on </v>
      </c>
      <c r="D348" s="1530"/>
      <c r="E348" s="1530"/>
      <c r="F348" s="1116">
        <f>DATEVALUE('Set up ~ Config'!$L$5)</f>
        <v>45535</v>
      </c>
      <c r="G348" s="1117">
        <f>'Set up ~ Config'!D71</f>
        <v>0</v>
      </c>
      <c r="I348" s="1118" t="str">
        <f>IF($Q$2=2,"Date (aaaa-mm-jj):","Date (yyyy-mm-dd):")</f>
        <v>Date (yyyy-mm-dd):</v>
      </c>
      <c r="J348" s="957"/>
      <c r="K348" s="1531" t="str">
        <f>IF($Q$2=2,"Solde :","Balance :")</f>
        <v>Balance :</v>
      </c>
      <c r="L348" s="1532"/>
      <c r="M348" s="1533"/>
      <c r="N348" s="942"/>
      <c r="P348" s="12"/>
      <c r="Q348" s="1542"/>
      <c r="R348" s="1542"/>
      <c r="S348" s="1542"/>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2">
      <c r="C349" s="1536" t="str">
        <f>IF($Q$2=2,"Plus: Accroissements (Jrnl des revenus)","Plus: Increases (Revenue Jrnl)")</f>
        <v>Plus: Increases (Revenue Jrnl)</v>
      </c>
      <c r="D349" s="1536"/>
      <c r="E349" s="1536"/>
      <c r="F349" s="1536"/>
      <c r="G349" s="1117">
        <f>'Jrnl Rev'!G548</f>
        <v>0</v>
      </c>
      <c r="H349" s="1120"/>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2">
      <c r="C350" s="1536" t="str">
        <f>IF($Q$2=2," Moins: Décroissements (Jrnl des dépenses)","Less: Decreases (Expense Jrnl)")</f>
        <v>Less: Decreases (Expense Jrnl)</v>
      </c>
      <c r="D350" s="1536"/>
      <c r="E350" s="1536"/>
      <c r="F350" s="1536"/>
      <c r="G350" s="1117">
        <f>'Jrnl Exp ~ Dép'!G548</f>
        <v>0</v>
      </c>
      <c r="I350" s="188"/>
      <c r="J350" s="188"/>
      <c r="K350" s="188"/>
      <c r="L350" s="188"/>
      <c r="M350" s="188"/>
      <c r="N350" s="1121"/>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2">
      <c r="C351" s="1538"/>
      <c r="D351" s="1538"/>
      <c r="E351" s="1538"/>
      <c r="F351" s="1538"/>
      <c r="H351" s="1120"/>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25">
      <c r="C352" s="1537" t="str">
        <f>IF($Q$2=2,F347&amp;" Fonds disponible du compte",F347&amp;" Account Available Funds")</f>
        <v>1280 Account Available Funds</v>
      </c>
      <c r="D352" s="1537"/>
      <c r="E352" s="1537"/>
      <c r="F352" s="1537"/>
      <c r="G352" s="1122"/>
      <c r="I352" s="18"/>
      <c r="J352" s="12"/>
      <c r="K352" s="12"/>
      <c r="L352" s="12"/>
      <c r="M352" s="12"/>
      <c r="N352" s="1123"/>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25">
      <c r="C353" s="1539" t="str">
        <f>IF($Q$2=2,"Solde reporté à la ligne "&amp;F347&amp;" du Bilan - page 7","This balance fwrd'd to line "&amp;F347&amp;" of Balance Sheet -  page 7")</f>
        <v>This balance fwrd'd to line 1280 of Balance Sheet -  page 7</v>
      </c>
      <c r="D353" s="1539"/>
      <c r="E353" s="1539"/>
      <c r="F353" s="1539"/>
      <c r="G353" s="1124">
        <f>IF(AND(SUM(G348+G349-G350)&lt;0.001,SUM(G348+G349-G350)&gt;-0.001),0,SUM(G348+G349-G350))</f>
        <v>0</v>
      </c>
      <c r="H353" s="605"/>
      <c r="I353" s="1"/>
      <c r="J353" s="82"/>
      <c r="K353" s="82"/>
      <c r="L353" s="82"/>
      <c r="M353" s="1125"/>
      <c r="N353" s="1124">
        <f>N348</f>
        <v>0</v>
      </c>
      <c r="O353" s="1"/>
      <c r="P353" s="12"/>
      <c r="Q353" s="12"/>
      <c r="R353" s="12"/>
      <c r="S353" s="12"/>
      <c r="BK353" s="187"/>
      <c r="BL353" s="187"/>
      <c r="BM353" s="187"/>
    </row>
    <row r="354" spans="3:65" ht="9.75" customHeight="1" thickBot="1" x14ac:dyDescent="0.25">
      <c r="C354" s="1"/>
      <c r="D354" s="1"/>
      <c r="E354" s="1"/>
      <c r="F354" s="189"/>
      <c r="G354" s="1"/>
      <c r="H354" s="1"/>
      <c r="I354" s="1"/>
      <c r="J354" s="1120"/>
      <c r="K354" s="1"/>
      <c r="L354" s="1"/>
      <c r="M354" s="1126"/>
      <c r="N354" s="1"/>
      <c r="O354" s="1"/>
      <c r="P354" s="12"/>
      <c r="Q354" s="12"/>
      <c r="R354" s="12"/>
      <c r="S354" s="12"/>
    </row>
    <row r="355" spans="3:65" s="1" customFormat="1" ht="25.5" customHeight="1" thickBot="1" x14ac:dyDescent="0.25">
      <c r="C355" s="1524"/>
      <c r="D355" s="1524"/>
      <c r="E355" s="1524"/>
      <c r="F355" s="1524"/>
      <c r="G355" s="1127">
        <f>IF(AND(G353-N353&lt;0.001,G353-N353&gt;-0.001),0,G353-N353)</f>
        <v>0</v>
      </c>
      <c r="H355" s="1534">
        <f>IF($Q$2=2,IF(G355=0,$T$8,$T$5),IF(G355=0,$T$9,$T$7))</f>
        <v>0</v>
      </c>
      <c r="I355" s="1534"/>
      <c r="J355" s="1534"/>
      <c r="K355" s="1534"/>
      <c r="L355" s="1534"/>
      <c r="M355" s="1534"/>
      <c r="N355" s="1535"/>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2">
      <c r="C356" s="1523"/>
      <c r="D356" s="1523"/>
      <c r="E356" s="1523"/>
      <c r="F356" s="1523"/>
      <c r="G356" s="1523"/>
      <c r="H356" s="1523"/>
      <c r="I356" s="1523"/>
      <c r="J356" s="1523"/>
      <c r="K356" s="1523"/>
      <c r="L356" s="1523"/>
      <c r="M356" s="1523"/>
      <c r="N356" s="1523"/>
      <c r="O356" s="1111"/>
      <c r="P356" s="1106"/>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2">
      <c r="C357" s="1525"/>
      <c r="D357" s="1525"/>
      <c r="E357" s="1525"/>
      <c r="F357" s="1525"/>
      <c r="G357" s="1525"/>
      <c r="H357" s="1525"/>
      <c r="I357" s="1525"/>
      <c r="J357" s="1525"/>
      <c r="K357" s="1525"/>
      <c r="L357" s="1525"/>
      <c r="M357" s="1525"/>
      <c r="N357" s="1525"/>
      <c r="O357" s="1111"/>
      <c r="P357" s="1106"/>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2">
      <c r="D358" s="1526" t="str">
        <f>IF($Q$2=2,"Réconciliation détaillée du compte "&amp;F360&amp;" - "&amp;C360,"Detailed Reconciliation of the Account "&amp;F360&amp;" - "&amp;C360)</f>
        <v>Detailed Reconciliation of the Account 1290 - Disponible ~ Available</v>
      </c>
      <c r="E358" s="1526"/>
      <c r="F358" s="1526"/>
      <c r="G358" s="1526"/>
      <c r="H358" s="1526"/>
      <c r="I358" s="1526"/>
      <c r="J358" s="1526"/>
      <c r="K358" s="1526"/>
      <c r="L358" s="1526"/>
      <c r="M358" s="1526"/>
      <c r="N358" s="1113"/>
      <c r="P358" s="12"/>
      <c r="R358" s="12"/>
      <c r="S358" s="12"/>
      <c r="T358" s="12"/>
      <c r="U358" s="1119"/>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2">
      <c r="C359" s="1527" t="str">
        <f>IF($Q$2=2,"Réconciliation selon les livres comptables","Reconciliation as per BookKeeping")</f>
        <v>Reconciliation as per BookKeeping</v>
      </c>
      <c r="D359" s="1527"/>
      <c r="E359" s="1527"/>
      <c r="F359" s="1527"/>
      <c r="G359" s="1527"/>
      <c r="I359" s="1527" t="str">
        <f>IF($Q$2=2,"Réconciliation selon l'état de compte","Reconciliation as per Account Statement")</f>
        <v>Reconciliation as per Account Statement</v>
      </c>
      <c r="J359" s="1527"/>
      <c r="K359" s="1527"/>
      <c r="L359" s="1527"/>
      <c r="M359" s="1527"/>
      <c r="N359" s="1114"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25">
      <c r="C360" s="1528" t="str">
        <f>'Set up ~ Config'!G72</f>
        <v>Disponible ~ Available</v>
      </c>
      <c r="D360" s="1528"/>
      <c r="E360" s="1528"/>
      <c r="F360" s="1115" t="str">
        <f>LEFT('Set up ~ Config'!F72,4)</f>
        <v>1290</v>
      </c>
      <c r="G360" s="82"/>
      <c r="I360" s="1529"/>
      <c r="J360" s="1529"/>
      <c r="K360" s="1529"/>
      <c r="L360" s="1529"/>
      <c r="M360" s="1529"/>
      <c r="N360" s="1529"/>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25">
      <c r="C361" s="1530" t="str">
        <f>IF($Q$2=2,"Solde du compte au ","Account Balance on ")</f>
        <v xml:space="preserve">Account Balance on </v>
      </c>
      <c r="D361" s="1530"/>
      <c r="E361" s="1530"/>
      <c r="F361" s="1116">
        <f>DATEVALUE('Set up ~ Config'!$L$5)</f>
        <v>45535</v>
      </c>
      <c r="G361" s="1117">
        <f>'Set up ~ Config'!D72</f>
        <v>0</v>
      </c>
      <c r="I361" s="1118" t="str">
        <f>IF($Q$2=2,"Date (aaaa-mm-jj):","Date (yyyy-mm-dd):")</f>
        <v>Date (yyyy-mm-dd):</v>
      </c>
      <c r="J361" s="957"/>
      <c r="K361" s="1531" t="str">
        <f>IF($Q$2=2,"Solde :","Balance :")</f>
        <v>Balance :</v>
      </c>
      <c r="L361" s="1532"/>
      <c r="M361" s="1533"/>
      <c r="N361" s="942"/>
      <c r="P361" s="12"/>
      <c r="Q361" s="1542"/>
      <c r="R361" s="1542"/>
      <c r="S361" s="1542"/>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2">
      <c r="C362" s="1536" t="str">
        <f>IF($Q$2=2,"Plus: Accroissements (Jrnl des revenus)","Plus: Increases (Revenue Jrnl)")</f>
        <v>Plus: Increases (Revenue Jrnl)</v>
      </c>
      <c r="D362" s="1536"/>
      <c r="E362" s="1536"/>
      <c r="F362" s="1536"/>
      <c r="G362" s="1117">
        <f>'Jrnl Rev'!G549</f>
        <v>0</v>
      </c>
      <c r="H362" s="1120"/>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2">
      <c r="C363" s="1536" t="str">
        <f>IF($Q$2=2," Moins: Décroissements (Jrnl des dépenses)","Less: Decreases (Expense Jrnl)")</f>
        <v>Less: Decreases (Expense Jrnl)</v>
      </c>
      <c r="D363" s="1536"/>
      <c r="E363" s="1536"/>
      <c r="F363" s="1536"/>
      <c r="G363" s="1117">
        <f>'Jrnl Exp ~ Dép'!G549</f>
        <v>0</v>
      </c>
      <c r="I363" s="188"/>
      <c r="J363" s="188"/>
      <c r="K363" s="188"/>
      <c r="L363" s="188"/>
      <c r="M363" s="188"/>
      <c r="N363" s="1121"/>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2">
      <c r="C364" s="1538"/>
      <c r="D364" s="1538"/>
      <c r="E364" s="1538"/>
      <c r="F364" s="1538"/>
      <c r="H364" s="1120"/>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25">
      <c r="C365" s="1537" t="str">
        <f>IF($Q$2=2,F360&amp;" Fonds disponible du compte",F360&amp;" Account Available Funds")</f>
        <v>1290 Account Available Funds</v>
      </c>
      <c r="D365" s="1537"/>
      <c r="E365" s="1537"/>
      <c r="F365" s="1537"/>
      <c r="G365" s="1122"/>
      <c r="I365" s="18"/>
      <c r="J365" s="12"/>
      <c r="K365" s="12"/>
      <c r="L365" s="12"/>
      <c r="M365" s="12"/>
      <c r="N365" s="1123"/>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25">
      <c r="C366" s="1539" t="str">
        <f>IF($Q$2=2,"Solde reporté à la ligne "&amp;F360&amp;" du Bilan - page 7","This balance fwrd'd to line "&amp;F360&amp;" of Balance Sheet -  page 7")</f>
        <v>This balance fwrd'd to line 1290 of Balance Sheet -  page 7</v>
      </c>
      <c r="D366" s="1539"/>
      <c r="E366" s="1539"/>
      <c r="F366" s="1539"/>
      <c r="G366" s="1124">
        <f>IF(AND(SUM(G361+G362-G363)&lt;0.001,SUM(G361+G362-G363)&gt;-0.001),0,SUM(G361+G362-G363))</f>
        <v>0</v>
      </c>
      <c r="H366" s="605"/>
      <c r="J366" s="82"/>
      <c r="K366" s="82"/>
      <c r="L366" s="82"/>
      <c r="M366" s="1125"/>
      <c r="N366" s="1124">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25">
      <c r="C367" s="1"/>
      <c r="D367" s="1"/>
      <c r="E367" s="1"/>
      <c r="F367" s="189"/>
      <c r="G367" s="1"/>
      <c r="H367" s="1"/>
      <c r="I367" s="1"/>
      <c r="J367" s="1120"/>
      <c r="K367" s="1"/>
      <c r="L367" s="1"/>
      <c r="M367" s="1126"/>
      <c r="N367" s="1"/>
      <c r="O367" s="1"/>
      <c r="P367" s="12"/>
      <c r="Q367" s="12"/>
      <c r="R367" s="12"/>
      <c r="S367" s="12"/>
      <c r="BK367" s="187"/>
      <c r="BL367" s="187"/>
      <c r="BM367" s="187"/>
    </row>
    <row r="368" spans="3:65" ht="25.5" customHeight="1" thickBot="1" x14ac:dyDescent="0.25">
      <c r="C368" s="1524"/>
      <c r="D368" s="1524"/>
      <c r="E368" s="1524"/>
      <c r="F368" s="1524"/>
      <c r="G368" s="1127">
        <f>IF(AND(G366-N366&lt;0.001,G366-N366&gt;-0.001),0,G366-N366)</f>
        <v>0</v>
      </c>
      <c r="H368" s="1534">
        <f>IF($Q$2=2,IF(G368=0,$T$8,$T$5),IF(G368=0,$T$9,$T$7))</f>
        <v>0</v>
      </c>
      <c r="I368" s="1534"/>
      <c r="J368" s="1534"/>
      <c r="K368" s="1534"/>
      <c r="L368" s="1534"/>
      <c r="M368" s="1534"/>
      <c r="N368" s="1535"/>
      <c r="O368" s="1"/>
      <c r="P368" s="12"/>
      <c r="Q368" s="12"/>
      <c r="R368" s="12"/>
      <c r="S368" s="12"/>
    </row>
    <row r="369" spans="3:65" s="1" customFormat="1" ht="15" customHeight="1" x14ac:dyDescent="0.2">
      <c r="C369" s="1523"/>
      <c r="D369" s="1523"/>
      <c r="E369" s="1523"/>
      <c r="F369" s="1523"/>
      <c r="G369" s="1523"/>
      <c r="H369" s="1523"/>
      <c r="I369" s="1523"/>
      <c r="J369" s="1523"/>
      <c r="K369" s="1523"/>
      <c r="L369" s="1523"/>
      <c r="M369" s="1523"/>
      <c r="N369" s="1523"/>
      <c r="O369" s="1111"/>
      <c r="P369" s="1106"/>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2">
      <c r="C370" s="1525"/>
      <c r="D370" s="1525"/>
      <c r="E370" s="1525"/>
      <c r="F370" s="1525"/>
      <c r="G370" s="1525"/>
      <c r="H370" s="1525"/>
      <c r="I370" s="1525"/>
      <c r="J370" s="1525"/>
      <c r="K370" s="1525"/>
      <c r="L370" s="1525"/>
      <c r="M370" s="1525"/>
      <c r="N370" s="1525"/>
      <c r="O370" s="1111"/>
      <c r="P370" s="1106"/>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2">
      <c r="D371" s="1526" t="str">
        <f>IF($Q$2=2,"Réconciliation détaillée du compte "&amp;F373&amp;" - "&amp;C373,"Detailed Reconciliation of the Account "&amp;F373&amp;" - "&amp;C373)</f>
        <v>Detailed Reconciliation of the Account 2010 - Credit Card</v>
      </c>
      <c r="E371" s="1526"/>
      <c r="F371" s="1526"/>
      <c r="G371" s="1526"/>
      <c r="H371" s="1526"/>
      <c r="I371" s="1526"/>
      <c r="J371" s="1526"/>
      <c r="K371" s="1526"/>
      <c r="L371" s="1526"/>
      <c r="M371" s="1526"/>
      <c r="N371" s="1113"/>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2">
      <c r="C372" s="1527" t="str">
        <f>IF($Q$2=2,"Réconciliation selon les livres comptables","Reconciliation as per BookKeeping")</f>
        <v>Reconciliation as per BookKeeping</v>
      </c>
      <c r="D372" s="1527"/>
      <c r="E372" s="1527"/>
      <c r="F372" s="1527"/>
      <c r="G372" s="1527"/>
      <c r="I372" s="1527" t="str">
        <f>IF($Q$2=2,"Réconciliation selon l'état de compte","Reconciliation as per Account Statement")</f>
        <v>Reconciliation as per Account Statement</v>
      </c>
      <c r="J372" s="1527"/>
      <c r="K372" s="1527"/>
      <c r="L372" s="1527"/>
      <c r="M372" s="1527"/>
      <c r="N372" s="1114" t="str">
        <f>F373</f>
        <v>2010</v>
      </c>
      <c r="P372" s="188"/>
      <c r="R372" s="188"/>
      <c r="S372" s="188"/>
      <c r="T372" s="12"/>
      <c r="U372" s="1119"/>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25">
      <c r="C373" s="1528" t="str">
        <f>'Set up ~ Config'!G76</f>
        <v>Credit Card</v>
      </c>
      <c r="D373" s="1528"/>
      <c r="E373" s="1528"/>
      <c r="F373" s="1115" t="str">
        <f>LEFT('Set up ~ Config'!F76,4)</f>
        <v>2010</v>
      </c>
      <c r="G373" s="82"/>
      <c r="I373" s="1529"/>
      <c r="J373" s="1529"/>
      <c r="K373" s="1529"/>
      <c r="L373" s="1529"/>
      <c r="M373" s="1529"/>
      <c r="N373" s="1529"/>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25">
      <c r="C374" s="1530" t="str">
        <f>IF($Q$2=2,"Solde du compte au ","Account Balance on ")</f>
        <v xml:space="preserve">Account Balance on </v>
      </c>
      <c r="D374" s="1530"/>
      <c r="E374" s="1530"/>
      <c r="F374" s="1116">
        <f>DATEVALUE('Set up ~ Config'!$L$5)</f>
        <v>45535</v>
      </c>
      <c r="G374" s="1117">
        <f>'Set up ~ Config'!D76</f>
        <v>0</v>
      </c>
      <c r="I374" s="1118" t="str">
        <f>IF($Q$2=2,"Date (aaaa-mm-jj):","Date (yyyy-mm-dd):")</f>
        <v>Date (yyyy-mm-dd):</v>
      </c>
      <c r="J374" s="957"/>
      <c r="K374" s="1531" t="str">
        <f>IF($Q$2=2,"Solde :","Balance :")</f>
        <v>Balance :</v>
      </c>
      <c r="L374" s="1532"/>
      <c r="M374" s="1533"/>
      <c r="N374" s="942"/>
      <c r="P374" s="12"/>
      <c r="Q374" s="1542"/>
      <c r="R374" s="1542"/>
      <c r="S374" s="1542"/>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2">
      <c r="C375" s="1536" t="str">
        <f>IF($Q$2=2," Plus: Dépenses (Jrnl des dépenses)","Plus: Expenses (Expense Jrnl)")</f>
        <v>Plus: Expenses (Expense Jrnl)</v>
      </c>
      <c r="D375" s="1536"/>
      <c r="E375" s="1536"/>
      <c r="F375" s="1536"/>
      <c r="G375" s="1117">
        <f>'Jrnl Exp ~ Dép'!G550</f>
        <v>0</v>
      </c>
      <c r="H375" s="1120"/>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2">
      <c r="C376" s="1536" t="str">
        <f>IF($Q$2=2,"Moins: Remboursements (Jrnl des revenus)","Less: Reimbursements (Revenue Jrnl)")</f>
        <v>Less: Reimbursements (Revenue Jrnl)</v>
      </c>
      <c r="D376" s="1536"/>
      <c r="E376" s="1536"/>
      <c r="F376" s="1536"/>
      <c r="G376" s="1117">
        <f>'Jrnl Rev'!G550</f>
        <v>0</v>
      </c>
      <c r="N376" s="1121"/>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2">
      <c r="C377" s="1538"/>
      <c r="D377" s="1538"/>
      <c r="E377" s="1538"/>
      <c r="F377" s="1538"/>
      <c r="H377" s="1120"/>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25">
      <c r="C378" s="1537" t="str">
        <f>IF($Q$2=2,F373&amp;" Fonds disponible du compte",F373&amp;" Account Available Funds")</f>
        <v>2010 Account Available Funds</v>
      </c>
      <c r="D378" s="1537"/>
      <c r="E378" s="1537"/>
      <c r="F378" s="1537"/>
      <c r="G378" s="1122"/>
      <c r="I378" s="18"/>
      <c r="J378" s="12"/>
      <c r="K378" s="12"/>
      <c r="L378" s="12"/>
      <c r="M378" s="12"/>
      <c r="N378" s="1123"/>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25">
      <c r="C379" s="1539" t="str">
        <f>IF($Q$2=2,"Solde reporté à la ligne "&amp;F373&amp;" du Bilan - page 8","This balance fwrd'd to line "&amp;F373&amp;" of Balance Sheet -  page 8")</f>
        <v>This balance fwrd'd to line 2010 of Balance Sheet -  page 8</v>
      </c>
      <c r="D379" s="1539"/>
      <c r="E379" s="1539"/>
      <c r="F379" s="1539"/>
      <c r="G379" s="1124">
        <f>IF(AND(SUM(G374+G375-G376)&lt;0.001,SUM(G374+G375-G376)&gt;-0.001),0,SUM(G374+G375-G376))</f>
        <v>0</v>
      </c>
      <c r="H379" s="605"/>
      <c r="J379" s="82"/>
      <c r="K379" s="82"/>
      <c r="L379" s="82"/>
      <c r="M379" s="1125"/>
      <c r="N379" s="1124">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25">
      <c r="F380" s="189"/>
      <c r="J380" s="1120"/>
      <c r="M380" s="1126"/>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25">
      <c r="C381" s="1524"/>
      <c r="D381" s="1524"/>
      <c r="E381" s="1524"/>
      <c r="F381" s="1524"/>
      <c r="G381" s="1127">
        <f>IF(AND(G379-N379&lt;0.001,G379-N379&gt;-0.001),0,G379-N379)</f>
        <v>0</v>
      </c>
      <c r="H381" s="1534">
        <f>IF($Q$2=2,IF(G381=0,$T$8,$T$5),IF(G381=0,$T$9,$T$7))</f>
        <v>0</v>
      </c>
      <c r="I381" s="1534"/>
      <c r="J381" s="1534"/>
      <c r="K381" s="1534"/>
      <c r="L381" s="1534"/>
      <c r="M381" s="1534"/>
      <c r="N381" s="1535"/>
      <c r="O381" s="1"/>
      <c r="P381" s="12"/>
      <c r="Q381" s="12"/>
      <c r="R381" s="12"/>
      <c r="S381" s="12"/>
      <c r="BK381" s="187"/>
      <c r="BL381" s="187"/>
      <c r="BM381" s="187"/>
    </row>
    <row r="382" spans="3:65" ht="15" customHeight="1" x14ac:dyDescent="0.2">
      <c r="C382" s="1523"/>
      <c r="D382" s="1523"/>
      <c r="E382" s="1523"/>
      <c r="F382" s="1523"/>
      <c r="G382" s="1523"/>
      <c r="H382" s="1523"/>
      <c r="I382" s="1523"/>
      <c r="J382" s="1523"/>
      <c r="K382" s="1523"/>
      <c r="L382" s="1523"/>
      <c r="M382" s="1523"/>
      <c r="N382" s="1523"/>
      <c r="O382" s="1111"/>
      <c r="P382" s="1106"/>
      <c r="Q382" s="1"/>
      <c r="R382" s="12"/>
      <c r="S382" s="12"/>
    </row>
    <row r="383" spans="3:65" s="1" customFormat="1" ht="19.5" customHeight="1" x14ac:dyDescent="0.2">
      <c r="C383" s="1525"/>
      <c r="D383" s="1525"/>
      <c r="E383" s="1525"/>
      <c r="F383" s="1525"/>
      <c r="G383" s="1525"/>
      <c r="H383" s="1525"/>
      <c r="I383" s="1525"/>
      <c r="J383" s="1525"/>
      <c r="K383" s="1525"/>
      <c r="L383" s="1525"/>
      <c r="M383" s="1525"/>
      <c r="N383" s="1525"/>
      <c r="O383" s="1111"/>
      <c r="P383" s="1106"/>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2">
      <c r="D384" s="1526" t="str">
        <f>IF($Q$2=2,"Réconciliation détaillée du compte "&amp;F386&amp;" - "&amp;C386,"Detailed Reconciliation of the Account "&amp;F386&amp;" - "&amp;C386)</f>
        <v>Detailed Reconciliation of the Account 2020 - Payables - Short Terms</v>
      </c>
      <c r="E384" s="1526"/>
      <c r="F384" s="1526"/>
      <c r="G384" s="1526"/>
      <c r="H384" s="1526"/>
      <c r="I384" s="1526"/>
      <c r="J384" s="1526"/>
      <c r="K384" s="1526"/>
      <c r="L384" s="1526"/>
      <c r="M384" s="1526"/>
      <c r="N384" s="1113"/>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2">
      <c r="C385" s="1527" t="str">
        <f>IF($Q$2=2,"Réconciliation selon les livres comptables","Reconciliation as per BookKeeping")</f>
        <v>Reconciliation as per BookKeeping</v>
      </c>
      <c r="D385" s="1527"/>
      <c r="E385" s="1527"/>
      <c r="F385" s="1527"/>
      <c r="G385" s="1527"/>
      <c r="I385" s="1527" t="str">
        <f>IF($Q$2=2,"Réconciliation selon l'état de compte","Reconciliation as per Account Statement")</f>
        <v>Reconciliation as per Account Statement</v>
      </c>
      <c r="J385" s="1527"/>
      <c r="K385" s="1527"/>
      <c r="L385" s="1527"/>
      <c r="M385" s="1527"/>
      <c r="N385" s="1114"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25">
      <c r="C386" s="1528" t="str">
        <f>'Set up ~ Config'!G77</f>
        <v>Payables - Short Terms</v>
      </c>
      <c r="D386" s="1528"/>
      <c r="E386" s="1528"/>
      <c r="F386" s="1115" t="str">
        <f>LEFT('Set up ~ Config'!F77,4)</f>
        <v>2020</v>
      </c>
      <c r="G386" s="82"/>
      <c r="I386" s="1529"/>
      <c r="J386" s="1529"/>
      <c r="K386" s="1529"/>
      <c r="L386" s="1529"/>
      <c r="M386" s="1529"/>
      <c r="N386" s="1529"/>
      <c r="P386" s="12"/>
      <c r="R386" s="12"/>
      <c r="S386" s="12"/>
      <c r="T386" s="12"/>
      <c r="U386" s="1119"/>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25">
      <c r="C387" s="1530" t="str">
        <f>IF($Q$2=2,"Solde du compte au ","Account Balance on ")</f>
        <v xml:space="preserve">Account Balance on </v>
      </c>
      <c r="D387" s="1530"/>
      <c r="E387" s="1530"/>
      <c r="F387" s="1116">
        <f>DATEVALUE('Set up ~ Config'!$L$5)</f>
        <v>45535</v>
      </c>
      <c r="G387" s="1117">
        <f>'Set up ~ Config'!D77</f>
        <v>0</v>
      </c>
      <c r="I387" s="1118" t="str">
        <f>IF($Q$2=2,"Date (aaaa-mm-jj):","Date (yyyy-mm-dd):")</f>
        <v>Date (yyyy-mm-dd):</v>
      </c>
      <c r="J387" s="957"/>
      <c r="K387" s="1531" t="str">
        <f>IF($Q$2=2,"Solde :","Balance :")</f>
        <v>Balance :</v>
      </c>
      <c r="L387" s="1532"/>
      <c r="M387" s="1533"/>
      <c r="N387" s="942"/>
      <c r="P387" s="12"/>
      <c r="Q387" s="1542"/>
      <c r="R387" s="1542"/>
      <c r="S387" s="1542"/>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2">
      <c r="C388" s="1536" t="str">
        <f>IF($Q$2=2," Plus: Accroissements (Jrnl des dépenses)","Plus: Increases (Expense Jrnl)")</f>
        <v>Plus: Increases (Expense Jrnl)</v>
      </c>
      <c r="D388" s="1536"/>
      <c r="E388" s="1536"/>
      <c r="F388" s="1536"/>
      <c r="G388" s="1117">
        <f>'Jrnl Exp ~ Dép'!G551</f>
        <v>0</v>
      </c>
      <c r="H388" s="1120"/>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2">
      <c r="C389" s="1536" t="str">
        <f>IF($Q$2=2,"Moins: Décroissements (Jrnl des revenus)","Less: Decreases (Revenue Jrnl)")</f>
        <v>Less: Decreases (Revenue Jrnl)</v>
      </c>
      <c r="D389" s="1536"/>
      <c r="E389" s="1536"/>
      <c r="F389" s="1536"/>
      <c r="G389" s="1117">
        <f>'Jrnl Rev'!G551</f>
        <v>0</v>
      </c>
      <c r="J389" s="188"/>
      <c r="K389" s="188"/>
      <c r="L389" s="188"/>
      <c r="M389" s="188"/>
      <c r="N389" s="1121"/>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2">
      <c r="C390" s="1538"/>
      <c r="D390" s="1538"/>
      <c r="E390" s="1538"/>
      <c r="F390" s="1538"/>
      <c r="H390" s="1120"/>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25">
      <c r="C391" s="1537" t="str">
        <f>IF($Q$2=2,F386&amp;" Fonds disponible du compte",F386&amp;" Account Available Funds")</f>
        <v>2020 Account Available Funds</v>
      </c>
      <c r="D391" s="1537"/>
      <c r="E391" s="1537"/>
      <c r="F391" s="1537"/>
      <c r="G391" s="1122"/>
      <c r="I391" s="18"/>
      <c r="J391" s="12"/>
      <c r="K391" s="12"/>
      <c r="L391" s="12"/>
      <c r="M391" s="12"/>
      <c r="N391" s="1123"/>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25">
      <c r="C392" s="1539" t="str">
        <f>IF($Q$2=2,"Solde reporté à la ligne "&amp;F386&amp;" du Bilan - page 8","This balance fwrd'd to line "&amp;F386&amp;" of Balance Sheet -  page 8")</f>
        <v>This balance fwrd'd to line 2020 of Balance Sheet -  page 8</v>
      </c>
      <c r="D392" s="1539"/>
      <c r="E392" s="1539"/>
      <c r="F392" s="1539"/>
      <c r="G392" s="1124">
        <f>IF(AND(SUM(G387+G388-G389)&lt;0.001,SUM(G387+G388-G389)&gt;-0.001),0,SUM(G387+G388-G389))</f>
        <v>0</v>
      </c>
      <c r="H392" s="605"/>
      <c r="J392" s="82"/>
      <c r="K392" s="82"/>
      <c r="L392" s="82"/>
      <c r="M392" s="1125"/>
      <c r="N392" s="1124">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25">
      <c r="F393" s="189"/>
      <c r="J393" s="1120"/>
      <c r="M393" s="1126"/>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25">
      <c r="C394" s="1524"/>
      <c r="D394" s="1524"/>
      <c r="E394" s="1524"/>
      <c r="F394" s="1524"/>
      <c r="G394" s="1127">
        <f>IF(AND(G392-N392&lt;0.001,G392-N392&gt;-0.001),0,G392-N392)</f>
        <v>0</v>
      </c>
      <c r="H394" s="1534">
        <f>IF($Q$2=2,IF(G394=0,$T$8,$T$5),IF(G394=0,$T$9,$T$7))</f>
        <v>0</v>
      </c>
      <c r="I394" s="1534"/>
      <c r="J394" s="1534"/>
      <c r="K394" s="1534"/>
      <c r="L394" s="1534"/>
      <c r="M394" s="1534"/>
      <c r="N394" s="1535"/>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2">
      <c r="C395" s="1523"/>
      <c r="D395" s="1523"/>
      <c r="E395" s="1523"/>
      <c r="F395" s="1523"/>
      <c r="G395" s="1523"/>
      <c r="H395" s="1523"/>
      <c r="I395" s="1523"/>
      <c r="J395" s="1523"/>
      <c r="K395" s="1523"/>
      <c r="L395" s="1523"/>
      <c r="M395" s="1523"/>
      <c r="N395" s="1523"/>
      <c r="O395" s="1111"/>
      <c r="P395" s="1106"/>
      <c r="Q395" s="1"/>
      <c r="R395" s="12"/>
      <c r="S395" s="12"/>
    </row>
    <row r="396" spans="3:62" ht="19.5" customHeight="1" x14ac:dyDescent="0.2">
      <c r="C396" s="1525"/>
      <c r="D396" s="1525"/>
      <c r="E396" s="1525"/>
      <c r="F396" s="1525"/>
      <c r="G396" s="1525"/>
      <c r="H396" s="1525"/>
      <c r="I396" s="1525"/>
      <c r="J396" s="1525"/>
      <c r="K396" s="1525"/>
      <c r="L396" s="1525"/>
      <c r="M396" s="1525"/>
      <c r="N396" s="1525"/>
      <c r="O396" s="1111"/>
      <c r="P396" s="1106"/>
      <c r="Q396" s="1"/>
      <c r="R396" s="12"/>
      <c r="S396" s="12"/>
    </row>
    <row r="397" spans="3:62" s="1" customFormat="1" ht="40.5" customHeight="1" x14ac:dyDescent="0.2">
      <c r="D397" s="1526" t="str">
        <f>IF($Q$2=2,"Réconciliation détaillée du compte "&amp;F399&amp;" - "&amp;C399,"Detailed Reconciliation of the Account "&amp;F399&amp;" - "&amp;C399)</f>
        <v>Detailed Reconciliation of the Account 2030 - Disponible ~ Available</v>
      </c>
      <c r="E397" s="1526"/>
      <c r="F397" s="1526"/>
      <c r="G397" s="1526"/>
      <c r="H397" s="1526"/>
      <c r="I397" s="1526"/>
      <c r="J397" s="1526"/>
      <c r="K397" s="1526"/>
      <c r="L397" s="1526"/>
      <c r="M397" s="1526"/>
      <c r="N397" s="1113"/>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2">
      <c r="C398" s="1527" t="str">
        <f>IF($Q$2=2,"Réconciliation selon les livres comptables","Reconciliation as per BookKeeping")</f>
        <v>Reconciliation as per BookKeeping</v>
      </c>
      <c r="D398" s="1527"/>
      <c r="E398" s="1527"/>
      <c r="F398" s="1527"/>
      <c r="G398" s="1527"/>
      <c r="I398" s="1527" t="str">
        <f>IF($Q$2=2,"Réconciliation selon le décompte","Reconciliation as per counting")</f>
        <v>Reconciliation as per counting</v>
      </c>
      <c r="J398" s="1527"/>
      <c r="K398" s="1527"/>
      <c r="L398" s="1527"/>
      <c r="M398" s="1527"/>
      <c r="N398" s="1114"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25">
      <c r="C399" s="1528" t="str">
        <f>'Set up ~ Config'!G78</f>
        <v>Disponible ~ Available</v>
      </c>
      <c r="D399" s="1528"/>
      <c r="E399" s="1528"/>
      <c r="F399" s="1115" t="str">
        <f>LEFT('Set up ~ Config'!F78,4)</f>
        <v>2030</v>
      </c>
      <c r="G399" s="82"/>
      <c r="I399" s="1529"/>
      <c r="J399" s="1529"/>
      <c r="K399" s="1529"/>
      <c r="L399" s="1529"/>
      <c r="M399" s="1529"/>
      <c r="N399" s="1529"/>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25">
      <c r="C400" s="1530" t="str">
        <f>IF($Q$2=2,"Solde du compte au ","Account Balance on ")</f>
        <v xml:space="preserve">Account Balance on </v>
      </c>
      <c r="D400" s="1530"/>
      <c r="E400" s="1530"/>
      <c r="F400" s="1116">
        <f>DATEVALUE('Set up ~ Config'!$L$5)</f>
        <v>45535</v>
      </c>
      <c r="G400" s="1117">
        <f>'Set up ~ Config'!D78</f>
        <v>0</v>
      </c>
      <c r="I400" s="1118" t="str">
        <f>IF($Q$2=2,"Date (aaaa-mm-jj):","Date (yyyy-mm-dd):")</f>
        <v>Date (yyyy-mm-dd):</v>
      </c>
      <c r="J400" s="957"/>
      <c r="K400" s="1531" t="str">
        <f>IF($Q$2=2,"Solde :","Balance :")</f>
        <v>Balance :</v>
      </c>
      <c r="L400" s="1532"/>
      <c r="M400" s="1533"/>
      <c r="N400" s="942"/>
      <c r="P400" s="12"/>
      <c r="Q400" s="1542"/>
      <c r="R400" s="1542"/>
      <c r="S400" s="1542"/>
      <c r="T400" s="12"/>
      <c r="U400" s="1119"/>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2">
      <c r="C401" s="1536" t="str">
        <f>IF($Q$2=2," Plus: Accroissements (Jrnl des dépenses)","Plus: Increases (Expense Jrnl)")</f>
        <v>Plus: Increases (Expense Jrnl)</v>
      </c>
      <c r="D401" s="1536"/>
      <c r="E401" s="1536"/>
      <c r="F401" s="1536"/>
      <c r="G401" s="1117">
        <f>'Jrnl Exp ~ Dép'!G552</f>
        <v>0</v>
      </c>
      <c r="H401" s="1120"/>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2">
      <c r="C402" s="1536" t="str">
        <f>IF($Q$2=2,"Moins: Décroissements (Jrnl des revenus)","Less: Decreases (Revenue Jrnl)")</f>
        <v>Less: Decreases (Revenue Jrnl)</v>
      </c>
      <c r="D402" s="1536"/>
      <c r="E402" s="1536"/>
      <c r="F402" s="1536"/>
      <c r="G402" s="1117">
        <f>'Jrnl Rev'!G552</f>
        <v>0</v>
      </c>
      <c r="J402" s="188"/>
      <c r="K402" s="188"/>
      <c r="L402" s="188"/>
      <c r="M402" s="188"/>
      <c r="N402" s="1121"/>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2">
      <c r="C403" s="1538"/>
      <c r="D403" s="1538"/>
      <c r="E403" s="1538"/>
      <c r="F403" s="1538"/>
      <c r="H403" s="1120"/>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25">
      <c r="C404" s="1537" t="str">
        <f>IF($Q$2=2,F399&amp;" Fonds disponible du compte",F399&amp;" Account Available Funds")</f>
        <v>2030 Account Available Funds</v>
      </c>
      <c r="D404" s="1537"/>
      <c r="E404" s="1537"/>
      <c r="F404" s="1537"/>
      <c r="G404" s="1122"/>
      <c r="I404" s="18"/>
      <c r="J404" s="12"/>
      <c r="K404" s="12"/>
      <c r="L404" s="12"/>
      <c r="M404" s="12"/>
      <c r="N404" s="1123"/>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25">
      <c r="C405" s="1539" t="str">
        <f>IF($Q$2=2,"Solde reporté à la ligne "&amp;F399&amp;" du Bilan - page 8","This balance fwrd'd to line "&amp;F399&amp;" of Balance Sheet -  page 8")</f>
        <v>This balance fwrd'd to line 2030 of Balance Sheet -  page 8</v>
      </c>
      <c r="D405" s="1539"/>
      <c r="E405" s="1539"/>
      <c r="F405" s="1539"/>
      <c r="G405" s="1124">
        <f>IF(AND(SUM(G400+G401-G402)&lt;0.001,SUM(G400+G401-G402)&gt;-0.001),0,SUM(G400+G401-G402))</f>
        <v>0</v>
      </c>
      <c r="H405" s="605"/>
      <c r="J405" s="82"/>
      <c r="K405" s="82"/>
      <c r="L405" s="82"/>
      <c r="M405" s="1125"/>
      <c r="N405" s="1124">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25">
      <c r="F406" s="189"/>
      <c r="J406" s="1120"/>
      <c r="M406" s="1126"/>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25">
      <c r="C407" s="1524"/>
      <c r="D407" s="1524"/>
      <c r="E407" s="1524"/>
      <c r="F407" s="1524"/>
      <c r="G407" s="1127">
        <f>IF(AND(G405-N405&lt;0.001,G405-N405&gt;-0.001),0,G405-N405)</f>
        <v>0</v>
      </c>
      <c r="H407" s="1534">
        <f>IF($Q$2=2,IF(G407=0,$T$8,$T$5),IF(G407=0,$T$9,$T$7))</f>
        <v>0</v>
      </c>
      <c r="I407" s="1534"/>
      <c r="J407" s="1534"/>
      <c r="K407" s="1534"/>
      <c r="L407" s="1534"/>
      <c r="M407" s="1534"/>
      <c r="N407" s="1535"/>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2">
      <c r="C408" s="1523"/>
      <c r="D408" s="1523"/>
      <c r="E408" s="1523"/>
      <c r="F408" s="1523"/>
      <c r="G408" s="1523"/>
      <c r="H408" s="1523"/>
      <c r="I408" s="1523"/>
      <c r="J408" s="1523"/>
      <c r="K408" s="1523"/>
      <c r="L408" s="1523"/>
      <c r="M408" s="1523"/>
      <c r="N408" s="1523"/>
      <c r="O408" s="1111"/>
      <c r="P408" s="1106"/>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2">
      <c r="C409" s="1525"/>
      <c r="D409" s="1525"/>
      <c r="E409" s="1525"/>
      <c r="F409" s="1525"/>
      <c r="G409" s="1525"/>
      <c r="H409" s="1525"/>
      <c r="I409" s="1525"/>
      <c r="J409" s="1525"/>
      <c r="K409" s="1525"/>
      <c r="L409" s="1525"/>
      <c r="M409" s="1525"/>
      <c r="N409" s="1525"/>
      <c r="O409" s="1111"/>
      <c r="P409" s="1106"/>
      <c r="Q409" s="1"/>
      <c r="R409" s="12"/>
      <c r="S409" s="12"/>
    </row>
    <row r="410" spans="3:62" ht="40.5" customHeight="1" x14ac:dyDescent="0.2">
      <c r="C410" s="1"/>
      <c r="D410" s="1526" t="str">
        <f>IF($Q$2=2,"Réconciliation détaillée du compte "&amp;F412&amp;" - "&amp;C412,"Detailed Reconciliation of the Account "&amp;F412&amp;" - "&amp;C412)</f>
        <v>Detailed Reconciliation of the Account 2040 - Disponible ~ Available</v>
      </c>
      <c r="E410" s="1526"/>
      <c r="F410" s="1526"/>
      <c r="G410" s="1526"/>
      <c r="H410" s="1526"/>
      <c r="I410" s="1526"/>
      <c r="J410" s="1526"/>
      <c r="K410" s="1526"/>
      <c r="L410" s="1526"/>
      <c r="M410" s="1526"/>
      <c r="N410" s="1113"/>
      <c r="O410" s="1"/>
      <c r="P410" s="12"/>
      <c r="Q410" s="1"/>
      <c r="R410" s="12"/>
      <c r="S410" s="12"/>
    </row>
    <row r="411" spans="3:62" s="1" customFormat="1" ht="29.25" customHeight="1" x14ac:dyDescent="0.2">
      <c r="C411" s="1527" t="str">
        <f>IF($Q$2=2,"Réconciliation selon les livres comptables","Reconciliation as per BookKeeping")</f>
        <v>Reconciliation as per BookKeeping</v>
      </c>
      <c r="D411" s="1527"/>
      <c r="E411" s="1527"/>
      <c r="F411" s="1527"/>
      <c r="G411" s="1527"/>
      <c r="I411" s="1527" t="str">
        <f>IF($Q$2=2,"Réconciliation selon l'état de compte","Reconciliation as per Account Statement")</f>
        <v>Reconciliation as per Account Statement</v>
      </c>
      <c r="J411" s="1527"/>
      <c r="K411" s="1527"/>
      <c r="L411" s="1527"/>
      <c r="M411" s="1527"/>
      <c r="N411" s="1114"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25">
      <c r="C412" s="1528" t="str">
        <f>'Set up ~ Config'!G79</f>
        <v>Disponible ~ Available</v>
      </c>
      <c r="D412" s="1528"/>
      <c r="E412" s="1528"/>
      <c r="F412" s="1115" t="str">
        <f>LEFT('Set up ~ Config'!F79,4)</f>
        <v>2040</v>
      </c>
      <c r="G412" s="82"/>
      <c r="I412" s="1529"/>
      <c r="J412" s="1529"/>
      <c r="K412" s="1529"/>
      <c r="L412" s="1529"/>
      <c r="M412" s="1529"/>
      <c r="N412" s="1529"/>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25">
      <c r="C413" s="1530" t="str">
        <f>IF($Q$2=2,"Solde du compte au ","Account Balance on ")</f>
        <v xml:space="preserve">Account Balance on </v>
      </c>
      <c r="D413" s="1530"/>
      <c r="E413" s="1530"/>
      <c r="F413" s="1116">
        <f>DATEVALUE('Set up ~ Config'!$L$5)</f>
        <v>45535</v>
      </c>
      <c r="G413" s="1117">
        <f>'Set up ~ Config'!D79</f>
        <v>0</v>
      </c>
      <c r="I413" s="1118" t="str">
        <f>IF($Q$2=2,"Date (aaaa-mm-jj):","Date (yyyy-mm-dd):")</f>
        <v>Date (yyyy-mm-dd):</v>
      </c>
      <c r="J413" s="957"/>
      <c r="K413" s="1531" t="str">
        <f>IF($Q$2=2,"Solde :","Balance :")</f>
        <v>Balance :</v>
      </c>
      <c r="L413" s="1532"/>
      <c r="M413" s="1533"/>
      <c r="N413" s="942"/>
      <c r="P413" s="12"/>
      <c r="Q413" s="1542"/>
      <c r="R413" s="1542"/>
      <c r="S413" s="1542"/>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2">
      <c r="C414" s="1536" t="str">
        <f>IF($Q$2=2," Plus: Accroissements (Jrnl des dépenses)","Plus: Increases (Expense Jrnl)")</f>
        <v>Plus: Increases (Expense Jrnl)</v>
      </c>
      <c r="D414" s="1536"/>
      <c r="E414" s="1536"/>
      <c r="F414" s="1536"/>
      <c r="G414" s="1117">
        <f>'Jrnl Exp ~ Dép'!G553</f>
        <v>0</v>
      </c>
      <c r="H414" s="1120"/>
      <c r="P414" s="12"/>
      <c r="Q414" s="12"/>
      <c r="R414" s="12"/>
      <c r="S414" s="12"/>
      <c r="T414" s="12"/>
      <c r="U414" s="1119"/>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2">
      <c r="C415" s="1536" t="str">
        <f>IF($Q$2=2,"Moins: Décroissements (Jrnl des revenus)","Less: Decreases (Revenue Jrnl)")</f>
        <v>Less: Decreases (Revenue Jrnl)</v>
      </c>
      <c r="D415" s="1536"/>
      <c r="E415" s="1536"/>
      <c r="F415" s="1536"/>
      <c r="G415" s="1117">
        <f>'Jrnl Rev'!G553</f>
        <v>0</v>
      </c>
      <c r="J415" s="188"/>
      <c r="K415" s="188"/>
      <c r="L415" s="188"/>
      <c r="M415" s="188"/>
      <c r="N415" s="1121"/>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2">
      <c r="C416" s="1538"/>
      <c r="D416" s="1538"/>
      <c r="E416" s="1538"/>
      <c r="F416" s="1538"/>
      <c r="H416" s="1120"/>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25">
      <c r="C417" s="1537" t="str">
        <f>IF($Q$2=2,F412&amp;" Fonds disponible du compte",F412&amp;" Account Available Funds")</f>
        <v>2040 Account Available Funds</v>
      </c>
      <c r="D417" s="1537"/>
      <c r="E417" s="1537"/>
      <c r="F417" s="1537"/>
      <c r="G417" s="1122"/>
      <c r="I417" s="18"/>
      <c r="J417" s="12"/>
      <c r="K417" s="12"/>
      <c r="L417" s="12"/>
      <c r="M417" s="12"/>
      <c r="N417" s="1123"/>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25">
      <c r="C418" s="1539" t="str">
        <f>IF($Q$2=2,"Solde reporté à la ligne "&amp;F412&amp;" du Bilan - page 8","This balance fwrd'd to line "&amp;F412&amp;" of Balance Sheet -  page 8")</f>
        <v>This balance fwrd'd to line 2040 of Balance Sheet -  page 8</v>
      </c>
      <c r="D418" s="1539"/>
      <c r="E418" s="1539"/>
      <c r="F418" s="1539"/>
      <c r="G418" s="1124">
        <f>IF(AND(SUM(G413+G414-G415)&lt;0.001,SUM(G413+G414-G415)&gt;-0.001),0,SUM(G413+G414-G415))</f>
        <v>0</v>
      </c>
      <c r="H418" s="605"/>
      <c r="J418" s="82"/>
      <c r="K418" s="82"/>
      <c r="L418" s="82"/>
      <c r="M418" s="1125"/>
      <c r="N418" s="1124">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25">
      <c r="F419" s="189"/>
      <c r="J419" s="1120"/>
      <c r="M419" s="1126"/>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25">
      <c r="C420" s="1524"/>
      <c r="D420" s="1524"/>
      <c r="E420" s="1524"/>
      <c r="F420" s="1524"/>
      <c r="G420" s="1127">
        <f>IF(AND(G418-N418&lt;0.001,G418-N418&gt;-0.001),0,G418-N418)</f>
        <v>0</v>
      </c>
      <c r="H420" s="1534">
        <f>IF($Q$2=2,IF(G420=0,$T$8,$T$5),IF(G420=0,$T$9,$T$7))</f>
        <v>0</v>
      </c>
      <c r="I420" s="1534"/>
      <c r="J420" s="1534"/>
      <c r="K420" s="1534"/>
      <c r="L420" s="1534"/>
      <c r="M420" s="1534"/>
      <c r="N420" s="1535"/>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2">
      <c r="C421" s="1523"/>
      <c r="D421" s="1523"/>
      <c r="E421" s="1523"/>
      <c r="F421" s="1523"/>
      <c r="G421" s="1523"/>
      <c r="H421" s="1523"/>
      <c r="I421" s="1523"/>
      <c r="J421" s="1523"/>
      <c r="K421" s="1523"/>
      <c r="L421" s="1523"/>
      <c r="M421" s="1523"/>
      <c r="N421" s="1523"/>
      <c r="O421" s="1111"/>
      <c r="P421" s="1106"/>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2">
      <c r="C422" s="1525"/>
      <c r="D422" s="1525"/>
      <c r="E422" s="1525"/>
      <c r="F422" s="1525"/>
      <c r="G422" s="1525"/>
      <c r="H422" s="1525"/>
      <c r="I422" s="1525"/>
      <c r="J422" s="1525"/>
      <c r="K422" s="1525"/>
      <c r="L422" s="1525"/>
      <c r="M422" s="1525"/>
      <c r="N422" s="1525"/>
      <c r="O422" s="1111"/>
      <c r="P422" s="1106"/>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2">
      <c r="C423" s="1"/>
      <c r="D423" s="1526" t="str">
        <f>IF($Q$2=2,"Réconciliation détaillée du compte "&amp;F425&amp;" - "&amp;C425,"Detailed Reconciliation of the Account "&amp;F425&amp;" - "&amp;C425)</f>
        <v>Detailed Reconciliation of the Account 2050 - Disponible ~ Available</v>
      </c>
      <c r="E423" s="1526"/>
      <c r="F423" s="1526"/>
      <c r="G423" s="1526"/>
      <c r="H423" s="1526"/>
      <c r="I423" s="1526"/>
      <c r="J423" s="1526"/>
      <c r="K423" s="1526"/>
      <c r="L423" s="1526"/>
      <c r="M423" s="1526"/>
      <c r="N423" s="1113"/>
      <c r="O423" s="1"/>
      <c r="P423" s="12"/>
      <c r="Q423" s="1"/>
      <c r="R423" s="12"/>
      <c r="S423" s="12"/>
    </row>
    <row r="424" spans="3:62" ht="29.25" customHeight="1" x14ac:dyDescent="0.2">
      <c r="C424" s="1527" t="str">
        <f>IF($Q$2=2,"Réconciliation selon les livres comptables","Reconciliation as per BookKeeping")</f>
        <v>Reconciliation as per BookKeeping</v>
      </c>
      <c r="D424" s="1527"/>
      <c r="E424" s="1527"/>
      <c r="F424" s="1527"/>
      <c r="G424" s="1527"/>
      <c r="H424" s="1"/>
      <c r="I424" s="1527" t="str">
        <f>IF($Q$2=2,"Réconciliation selon l'état de compte","Reconciliation as per Account Statement")</f>
        <v>Reconciliation as per Account Statement</v>
      </c>
      <c r="J424" s="1527"/>
      <c r="K424" s="1527"/>
      <c r="L424" s="1527"/>
      <c r="M424" s="1527"/>
      <c r="N424" s="1114" t="str">
        <f>F425</f>
        <v>2050</v>
      </c>
      <c r="O424" s="1"/>
      <c r="P424" s="188"/>
      <c r="Q424" s="1"/>
      <c r="R424" s="188"/>
      <c r="S424" s="188"/>
    </row>
    <row r="425" spans="3:62" s="1" customFormat="1" ht="25.5" customHeight="1" thickBot="1" x14ac:dyDescent="0.25">
      <c r="C425" s="1528" t="str">
        <f>'Set up ~ Config'!G80</f>
        <v>Disponible ~ Available</v>
      </c>
      <c r="D425" s="1528"/>
      <c r="E425" s="1528"/>
      <c r="F425" s="1115" t="str">
        <f>LEFT('Set up ~ Config'!F80,4)</f>
        <v>2050</v>
      </c>
      <c r="G425" s="82"/>
      <c r="I425" s="1529"/>
      <c r="J425" s="1529"/>
      <c r="K425" s="1529"/>
      <c r="L425" s="1529"/>
      <c r="M425" s="1529"/>
      <c r="N425" s="1529"/>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25">
      <c r="C426" s="1530" t="str">
        <f>IF($Q$2=2,"Solde du compte au ","Account Balance on ")</f>
        <v xml:space="preserve">Account Balance on </v>
      </c>
      <c r="D426" s="1530"/>
      <c r="E426" s="1530"/>
      <c r="F426" s="1116">
        <f>DATEVALUE('Set up ~ Config'!$L$5)</f>
        <v>45535</v>
      </c>
      <c r="G426" s="1117">
        <f>'Set up ~ Config'!D80</f>
        <v>0</v>
      </c>
      <c r="I426" s="1118" t="str">
        <f>IF($Q$2=2,"Date (aaaa-mm-jj):","Date (yyyy-mm-dd):")</f>
        <v>Date (yyyy-mm-dd):</v>
      </c>
      <c r="J426" s="957"/>
      <c r="K426" s="1531" t="str">
        <f>IF($Q$2=2,"Solde :","Balance :")</f>
        <v>Balance :</v>
      </c>
      <c r="L426" s="1532"/>
      <c r="M426" s="1533"/>
      <c r="N426" s="942"/>
      <c r="P426" s="12"/>
      <c r="Q426" s="1542"/>
      <c r="R426" s="1542"/>
      <c r="S426" s="1542"/>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2">
      <c r="C427" s="1536" t="str">
        <f>IF($Q$2=2," Plus: Accroissements (Jrnl des dépenses)","Plus: Increases (Expense Jrnl)")</f>
        <v>Plus: Increases (Expense Jrnl)</v>
      </c>
      <c r="D427" s="1536"/>
      <c r="E427" s="1536"/>
      <c r="F427" s="1536"/>
      <c r="G427" s="1117">
        <f>'Jrnl Exp ~ Dép'!G554</f>
        <v>0</v>
      </c>
      <c r="H427" s="1120"/>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2">
      <c r="C428" s="1536" t="str">
        <f>IF($Q$2=2,"Moins: Décroissements (Jrnl des revenus)","Less: Decreases (Revenue Jrnl)")</f>
        <v>Less: Decreases (Revenue Jrnl)</v>
      </c>
      <c r="D428" s="1536"/>
      <c r="E428" s="1536"/>
      <c r="F428" s="1536"/>
      <c r="G428" s="1117">
        <f>'Jrnl Rev'!G554</f>
        <v>0</v>
      </c>
      <c r="J428" s="188"/>
      <c r="K428" s="188"/>
      <c r="L428" s="188"/>
      <c r="M428" s="188"/>
      <c r="N428" s="1121"/>
      <c r="P428" s="12"/>
      <c r="Q428" s="12"/>
      <c r="R428" s="12"/>
      <c r="S428" s="12"/>
      <c r="T428" s="12"/>
      <c r="U428" s="1119"/>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2">
      <c r="C429" s="1538"/>
      <c r="D429" s="1538"/>
      <c r="E429" s="1538"/>
      <c r="F429" s="1538"/>
      <c r="H429" s="1120"/>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25">
      <c r="C430" s="1537" t="str">
        <f>IF($Q$2=2,F425&amp;" Fonds disponible du compte",F425&amp;" Account Available Funds")</f>
        <v>2050 Account Available Funds</v>
      </c>
      <c r="D430" s="1537"/>
      <c r="E430" s="1537"/>
      <c r="F430" s="1537"/>
      <c r="G430" s="1122"/>
      <c r="I430" s="18"/>
      <c r="J430" s="12"/>
      <c r="K430" s="12"/>
      <c r="L430" s="12"/>
      <c r="M430" s="12"/>
      <c r="N430" s="1123"/>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25">
      <c r="C431" s="1539" t="str">
        <f>IF($Q$2=2,"Solde reporté à la ligne "&amp;F425&amp;" du Bilan - page 8","This balance fwrd'd to line "&amp;F425&amp;" of Balance Sheet -  page 8")</f>
        <v>This balance fwrd'd to line 2050 of Balance Sheet -  page 8</v>
      </c>
      <c r="D431" s="1539"/>
      <c r="E431" s="1539"/>
      <c r="F431" s="1539"/>
      <c r="G431" s="1124">
        <f>IF(AND(SUM(G426+G427-G428)&lt;0.001,SUM(G426+G427-G428)&gt;-0.001),0,SUM(G426+G427-G428))</f>
        <v>0</v>
      </c>
      <c r="H431" s="605"/>
      <c r="J431" s="82"/>
      <c r="K431" s="82"/>
      <c r="L431" s="82"/>
      <c r="M431" s="1125"/>
      <c r="N431" s="1124">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25">
      <c r="F432" s="189"/>
      <c r="J432" s="1120"/>
      <c r="M432" s="1126"/>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25">
      <c r="C433" s="1524"/>
      <c r="D433" s="1524"/>
      <c r="E433" s="1524"/>
      <c r="F433" s="1524"/>
      <c r="G433" s="1127">
        <f>IF(AND(G431-N431&lt;0.001,G431-N431&gt;-0.001),0,G431-N431)</f>
        <v>0</v>
      </c>
      <c r="H433" s="1534">
        <f>IF($Q$2=2,IF(G433=0,$T$8,$T$5),IF(G433=0,$T$9,$T$7))</f>
        <v>0</v>
      </c>
      <c r="I433" s="1534"/>
      <c r="J433" s="1534"/>
      <c r="K433" s="1534"/>
      <c r="L433" s="1534"/>
      <c r="M433" s="1534"/>
      <c r="N433" s="1535"/>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2">
      <c r="C434" s="1523"/>
      <c r="D434" s="1523"/>
      <c r="E434" s="1523"/>
      <c r="F434" s="1523"/>
      <c r="G434" s="1523"/>
      <c r="H434" s="1523"/>
      <c r="I434" s="1523"/>
      <c r="J434" s="1523"/>
      <c r="K434" s="1523"/>
      <c r="L434" s="1523"/>
      <c r="M434" s="1523"/>
      <c r="N434" s="1523"/>
      <c r="O434" s="1111"/>
      <c r="P434" s="1106"/>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2">
      <c r="C435" s="1525"/>
      <c r="D435" s="1525"/>
      <c r="E435" s="1525"/>
      <c r="F435" s="1525"/>
      <c r="G435" s="1525"/>
      <c r="H435" s="1525"/>
      <c r="I435" s="1525"/>
      <c r="J435" s="1525"/>
      <c r="K435" s="1525"/>
      <c r="L435" s="1525"/>
      <c r="M435" s="1525"/>
      <c r="N435" s="1525"/>
      <c r="O435" s="1111"/>
      <c r="P435" s="1106"/>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2">
      <c r="D436" s="1526" t="str">
        <f>IF($Q$2=2,"Réconciliation détaillée du compte "&amp;F438&amp;" - "&amp;C438,"Detailed Reconciliation of the Account "&amp;F438&amp;" - "&amp;C438)</f>
        <v>Detailed Reconciliation of the Account 2060 - Disponible ~ Available</v>
      </c>
      <c r="E436" s="1526"/>
      <c r="F436" s="1526"/>
      <c r="G436" s="1526"/>
      <c r="H436" s="1526"/>
      <c r="I436" s="1526"/>
      <c r="J436" s="1526"/>
      <c r="K436" s="1526"/>
      <c r="L436" s="1526"/>
      <c r="M436" s="1526"/>
      <c r="N436" s="1113"/>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2">
      <c r="C437" s="1527" t="str">
        <f>IF($Q$2=2,"Réconciliation selon les livres comptables","Reconciliation as per BookKeeping")</f>
        <v>Reconciliation as per BookKeeping</v>
      </c>
      <c r="D437" s="1527"/>
      <c r="E437" s="1527"/>
      <c r="F437" s="1527"/>
      <c r="G437" s="1527"/>
      <c r="H437" s="1"/>
      <c r="I437" s="1527" t="str">
        <f>IF($Q$2=2,"Réconciliation selon l'état de compte","Reconciliation as per Account Statement")</f>
        <v>Reconciliation as per Account Statement</v>
      </c>
      <c r="J437" s="1527"/>
      <c r="K437" s="1527"/>
      <c r="L437" s="1527"/>
      <c r="M437" s="1527"/>
      <c r="N437" s="1114" t="str">
        <f>F438</f>
        <v>2060</v>
      </c>
      <c r="O437" s="1"/>
      <c r="P437" s="188"/>
      <c r="Q437" s="1"/>
      <c r="R437" s="188"/>
      <c r="S437" s="188"/>
    </row>
    <row r="438" spans="3:62" ht="25.5" customHeight="1" thickBot="1" x14ac:dyDescent="0.25">
      <c r="C438" s="1528" t="str">
        <f>'Set up ~ Config'!G81</f>
        <v>Disponible ~ Available</v>
      </c>
      <c r="D438" s="1528"/>
      <c r="E438" s="1528"/>
      <c r="F438" s="1115" t="str">
        <f>LEFT('Set up ~ Config'!F81,4)</f>
        <v>2060</v>
      </c>
      <c r="G438" s="82"/>
      <c r="H438" s="1"/>
      <c r="I438" s="1529"/>
      <c r="J438" s="1529"/>
      <c r="K438" s="1529"/>
      <c r="L438" s="1529"/>
      <c r="M438" s="1529"/>
      <c r="N438" s="1529"/>
      <c r="O438" s="1"/>
      <c r="P438" s="12"/>
      <c r="Q438" s="1"/>
      <c r="R438" s="12"/>
      <c r="S438" s="12"/>
    </row>
    <row r="439" spans="3:62" s="1" customFormat="1" ht="25.5" customHeight="1" thickTop="1" thickBot="1" x14ac:dyDescent="0.25">
      <c r="C439" s="1530" t="str">
        <f>IF($Q$2=2,"Solde du compte au ","Account Balance on ")</f>
        <v xml:space="preserve">Account Balance on </v>
      </c>
      <c r="D439" s="1530"/>
      <c r="E439" s="1530"/>
      <c r="F439" s="1116">
        <f>DATEVALUE('Set up ~ Config'!$L$5)</f>
        <v>45535</v>
      </c>
      <c r="G439" s="1117">
        <f>'Set up ~ Config'!D81</f>
        <v>0</v>
      </c>
      <c r="I439" s="1118" t="str">
        <f>IF($Q$2=2,"Date (aaaa-mm-jj):","Date (yyyy-mm-dd):")</f>
        <v>Date (yyyy-mm-dd):</v>
      </c>
      <c r="J439" s="957"/>
      <c r="K439" s="1531" t="str">
        <f>IF($Q$2=2,"Solde :","Balance :")</f>
        <v>Balance :</v>
      </c>
      <c r="L439" s="1532"/>
      <c r="M439" s="1533"/>
      <c r="N439" s="942"/>
      <c r="P439" s="12"/>
      <c r="Q439" s="1542"/>
      <c r="R439" s="1542"/>
      <c r="S439" s="1542"/>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2">
      <c r="C440" s="1536" t="str">
        <f>IF($Q$2=2," Plus: Accroissements (Jrnl des dépenses)","Plus: Increases (Expense Jrnl)")</f>
        <v>Plus: Increases (Expense Jrnl)</v>
      </c>
      <c r="D440" s="1536"/>
      <c r="E440" s="1536"/>
      <c r="F440" s="1536"/>
      <c r="G440" s="1117">
        <f>'Jrnl Exp ~ Dép'!G555</f>
        <v>0</v>
      </c>
      <c r="H440" s="1120"/>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2">
      <c r="C441" s="1536" t="str">
        <f>IF($Q$2=2,"Moins: Décroissements (Jrnl des revenus)","Less: Decreases (Revenue Jrnl)")</f>
        <v>Less: Decreases (Revenue Jrnl)</v>
      </c>
      <c r="D441" s="1536"/>
      <c r="E441" s="1536"/>
      <c r="F441" s="1536"/>
      <c r="G441" s="1117">
        <f>'Jrnl Rev'!G555</f>
        <v>0</v>
      </c>
      <c r="J441" s="188"/>
      <c r="K441" s="188"/>
      <c r="L441" s="188"/>
      <c r="M441" s="188"/>
      <c r="N441" s="1121"/>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2">
      <c r="C442" s="1538"/>
      <c r="D442" s="1538"/>
      <c r="E442" s="1538"/>
      <c r="F442" s="1538"/>
      <c r="H442" s="1120"/>
      <c r="P442" s="12"/>
      <c r="Q442" s="12"/>
      <c r="R442" s="12"/>
      <c r="S442" s="12"/>
      <c r="T442" s="12"/>
      <c r="U442" s="1119"/>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25">
      <c r="C443" s="1537" t="str">
        <f>IF($Q$2=2,F438&amp;" Fonds disponible du compte",F438&amp;" Account Available Funds")</f>
        <v>2060 Account Available Funds</v>
      </c>
      <c r="D443" s="1537"/>
      <c r="E443" s="1537"/>
      <c r="F443" s="1537"/>
      <c r="G443" s="1122"/>
      <c r="I443" s="18"/>
      <c r="J443" s="12"/>
      <c r="K443" s="12"/>
      <c r="L443" s="12"/>
      <c r="M443" s="12"/>
      <c r="N443" s="1123"/>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25">
      <c r="C444" s="1539" t="str">
        <f>IF($Q$2=2,"Solde reporté à la ligne "&amp;F438&amp;" du Bilan - page 8","This balance fwrd'd to line "&amp;F438&amp;" of Balance Sheet -  page 8")</f>
        <v>This balance fwrd'd to line 2060 of Balance Sheet -  page 8</v>
      </c>
      <c r="D444" s="1539"/>
      <c r="E444" s="1539"/>
      <c r="F444" s="1539"/>
      <c r="G444" s="1124">
        <f>IF(AND(SUM(G439+G440-G441)&lt;0.001,SUM(G439+G440-G441)&gt;-0.001),0,SUM(G439+G440-G441))</f>
        <v>0</v>
      </c>
      <c r="H444" s="605"/>
      <c r="J444" s="82"/>
      <c r="K444" s="82"/>
      <c r="L444" s="82"/>
      <c r="M444" s="1125"/>
      <c r="N444" s="1124">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25">
      <c r="F445" s="189"/>
      <c r="J445" s="1120"/>
      <c r="M445" s="1126"/>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25">
      <c r="C446" s="1524"/>
      <c r="D446" s="1524"/>
      <c r="E446" s="1524"/>
      <c r="F446" s="1524"/>
      <c r="G446" s="1127">
        <f>IF(AND(G444-N444&lt;0.001,G444-N444&gt;-0.001),0,G444-N444)</f>
        <v>0</v>
      </c>
      <c r="H446" s="1534">
        <f>IF($Q$2=2,IF(G446=0,$T$8,$T$5),IF(G446=0,$T$9,$T$7))</f>
        <v>0</v>
      </c>
      <c r="I446" s="1534"/>
      <c r="J446" s="1534"/>
      <c r="K446" s="1534"/>
      <c r="L446" s="1534"/>
      <c r="M446" s="1534"/>
      <c r="N446" s="1535"/>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2">
      <c r="C447" s="1523"/>
      <c r="D447" s="1523"/>
      <c r="E447" s="1523"/>
      <c r="F447" s="1523"/>
      <c r="G447" s="1523"/>
      <c r="H447" s="1523"/>
      <c r="I447" s="1523"/>
      <c r="J447" s="1523"/>
      <c r="K447" s="1523"/>
      <c r="L447" s="1523"/>
      <c r="M447" s="1523"/>
      <c r="N447" s="1523"/>
      <c r="O447" s="1111"/>
      <c r="P447" s="1106"/>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2">
      <c r="C448" s="1525"/>
      <c r="D448" s="1525"/>
      <c r="E448" s="1525"/>
      <c r="F448" s="1525"/>
      <c r="G448" s="1525"/>
      <c r="H448" s="1525"/>
      <c r="I448" s="1525"/>
      <c r="J448" s="1525"/>
      <c r="K448" s="1525"/>
      <c r="L448" s="1525"/>
      <c r="M448" s="1525"/>
      <c r="N448" s="1525"/>
      <c r="O448" s="1111"/>
      <c r="P448" s="1106"/>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2">
      <c r="D449" s="1526" t="str">
        <f>IF($Q$2=2,"Réconciliation détaillée du compte "&amp;F451&amp;" - "&amp;C451,"Detailed Reconciliation of the Account "&amp;F451&amp;" - "&amp;C451)</f>
        <v>Detailed Reconciliation of the Account 2070 - Disponible ~ Available</v>
      </c>
      <c r="E449" s="1526"/>
      <c r="F449" s="1526"/>
      <c r="G449" s="1526"/>
      <c r="H449" s="1526"/>
      <c r="I449" s="1526"/>
      <c r="J449" s="1526"/>
      <c r="K449" s="1526"/>
      <c r="L449" s="1526"/>
      <c r="M449" s="1526"/>
      <c r="N449" s="1113"/>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2">
      <c r="C450" s="1527" t="str">
        <f>IF($Q$2=2,"Réconciliation selon les livres comptables","Reconciliation as per BookKeeping")</f>
        <v>Reconciliation as per BookKeeping</v>
      </c>
      <c r="D450" s="1527"/>
      <c r="E450" s="1527"/>
      <c r="F450" s="1527"/>
      <c r="G450" s="1527"/>
      <c r="I450" s="1527" t="str">
        <f>IF($Q$2=2,"Réconciliation selon l'état de compte","Reconciliation as per Account Statement")</f>
        <v>Reconciliation as per Account Statement</v>
      </c>
      <c r="J450" s="1527"/>
      <c r="K450" s="1527"/>
      <c r="L450" s="1527"/>
      <c r="M450" s="1527"/>
      <c r="N450" s="1114"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25">
      <c r="C451" s="1528" t="str">
        <f>'Set up ~ Config'!G82</f>
        <v>Disponible ~ Available</v>
      </c>
      <c r="D451" s="1528"/>
      <c r="E451" s="1528"/>
      <c r="F451" s="1115" t="str">
        <f>LEFT('Set up ~ Config'!F82,4)</f>
        <v>2070</v>
      </c>
      <c r="G451" s="82"/>
      <c r="H451" s="1"/>
      <c r="I451" s="1529"/>
      <c r="J451" s="1529"/>
      <c r="K451" s="1529"/>
      <c r="L451" s="1529"/>
      <c r="M451" s="1529"/>
      <c r="N451" s="1529"/>
      <c r="O451" s="1"/>
      <c r="P451" s="12"/>
      <c r="Q451" s="1"/>
      <c r="R451" s="12"/>
      <c r="S451" s="12"/>
    </row>
    <row r="452" spans="3:62" ht="25.5" customHeight="1" thickTop="1" thickBot="1" x14ac:dyDescent="0.25">
      <c r="C452" s="1530" t="str">
        <f>IF($Q$2=2,"Solde du compte au ","Account Balance on ")</f>
        <v xml:space="preserve">Account Balance on </v>
      </c>
      <c r="D452" s="1530"/>
      <c r="E452" s="1530"/>
      <c r="F452" s="1116">
        <f>DATEVALUE('Set up ~ Config'!$L$5)</f>
        <v>45535</v>
      </c>
      <c r="G452" s="1117">
        <f>'Set up ~ Config'!D82</f>
        <v>0</v>
      </c>
      <c r="H452" s="1"/>
      <c r="I452" s="1118" t="str">
        <f>IF($Q$2=2,"Date (aaaa-mm-jj):","Date (yyyy-mm-dd):")</f>
        <v>Date (yyyy-mm-dd):</v>
      </c>
      <c r="J452" s="957"/>
      <c r="K452" s="1531" t="str">
        <f>IF($Q$2=2,"Solde :","Balance :")</f>
        <v>Balance :</v>
      </c>
      <c r="L452" s="1532"/>
      <c r="M452" s="1533"/>
      <c r="N452" s="942"/>
      <c r="O452" s="1"/>
      <c r="P452" s="12"/>
      <c r="Q452" s="1542"/>
      <c r="R452" s="1542"/>
      <c r="S452" s="1542"/>
    </row>
    <row r="453" spans="3:62" s="1" customFormat="1" ht="25.5" customHeight="1" thickTop="1" x14ac:dyDescent="0.2">
      <c r="C453" s="1536" t="str">
        <f>IF($Q$2=2," Plus: Accroissements (Jrnl des dépenses)","Plus: Increases (Expense Jrnl)")</f>
        <v>Plus: Increases (Expense Jrnl)</v>
      </c>
      <c r="D453" s="1536"/>
      <c r="E453" s="1536"/>
      <c r="F453" s="1536"/>
      <c r="G453" s="1117">
        <f>'Jrnl Exp ~ Dép'!G556</f>
        <v>0</v>
      </c>
      <c r="H453" s="1120"/>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2">
      <c r="C454" s="1536" t="str">
        <f>IF($Q$2=2,"Moins: Décroissements (Jrnl des revenus)","Less: Decreases (Revenue Jrnl)")</f>
        <v>Less: Decreases (Revenue Jrnl)</v>
      </c>
      <c r="D454" s="1536"/>
      <c r="E454" s="1536"/>
      <c r="F454" s="1536"/>
      <c r="G454" s="1117">
        <f>'Jrnl Rev'!G556</f>
        <v>0</v>
      </c>
      <c r="J454" s="188"/>
      <c r="K454" s="188"/>
      <c r="L454" s="188"/>
      <c r="M454" s="188"/>
      <c r="N454" s="1121"/>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2">
      <c r="C455" s="1538"/>
      <c r="D455" s="1538"/>
      <c r="E455" s="1538"/>
      <c r="F455" s="1538"/>
      <c r="H455" s="1120"/>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25">
      <c r="C456" s="1537" t="str">
        <f>IF($Q$2=2,F451&amp;" Fonds disponible du compte",F451&amp;" Account Available Funds")</f>
        <v>2070 Account Available Funds</v>
      </c>
      <c r="D456" s="1537"/>
      <c r="E456" s="1537"/>
      <c r="F456" s="1537"/>
      <c r="G456" s="1122"/>
      <c r="I456" s="18"/>
      <c r="J456" s="12"/>
      <c r="K456" s="12"/>
      <c r="L456" s="12"/>
      <c r="M456" s="12"/>
      <c r="N456" s="1123"/>
      <c r="P456" s="12"/>
      <c r="Q456" s="12"/>
      <c r="R456" s="12"/>
      <c r="S456" s="12"/>
      <c r="T456" s="12"/>
      <c r="U456" s="1119"/>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25">
      <c r="C457" s="1539" t="str">
        <f>IF($Q$2=2,"Solde reporté à la ligne "&amp;F451&amp;" du Bilan - page 8","This balance fwrd'd to line "&amp;F451&amp;" of Balance Sheet -  page 8")</f>
        <v>This balance fwrd'd to line 2070 of Balance Sheet -  page 8</v>
      </c>
      <c r="D457" s="1539"/>
      <c r="E457" s="1539"/>
      <c r="F457" s="1539"/>
      <c r="G457" s="1124">
        <f>IF(AND(SUM(G452+G453-G454)&lt;0.001,SUM(G452+G453-G454)&gt;-0.001),0,SUM(G452+G453-G454))</f>
        <v>0</v>
      </c>
      <c r="H457" s="605"/>
      <c r="J457" s="82"/>
      <c r="K457" s="82"/>
      <c r="L457" s="82"/>
      <c r="M457" s="1125"/>
      <c r="N457" s="1124">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25">
      <c r="F458" s="189"/>
      <c r="J458" s="1120"/>
      <c r="M458" s="1126"/>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25">
      <c r="C459" s="1524"/>
      <c r="D459" s="1524"/>
      <c r="E459" s="1524"/>
      <c r="F459" s="1524"/>
      <c r="G459" s="1127">
        <f>IF(AND(G457-N457&lt;0.001,G457-N457&gt;-0.001),0,G457-N457)</f>
        <v>0</v>
      </c>
      <c r="H459" s="1534">
        <f>IF($Q$2=2,IF(G459=0,$T$8,$T$5),IF(G459=0,$T$9,$T$7))</f>
        <v>0</v>
      </c>
      <c r="I459" s="1534"/>
      <c r="J459" s="1534"/>
      <c r="K459" s="1534"/>
      <c r="L459" s="1534"/>
      <c r="M459" s="1534"/>
      <c r="N459" s="1535"/>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2">
      <c r="C460" s="1523"/>
      <c r="D460" s="1523"/>
      <c r="E460" s="1523"/>
      <c r="F460" s="1523"/>
      <c r="G460" s="1523"/>
      <c r="H460" s="1523"/>
      <c r="I460" s="1523"/>
      <c r="J460" s="1523"/>
      <c r="K460" s="1523"/>
      <c r="L460" s="1523"/>
      <c r="M460" s="1523"/>
      <c r="N460" s="1523"/>
      <c r="O460" s="1111"/>
      <c r="P460" s="1106"/>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2">
      <c r="C461" s="1525"/>
      <c r="D461" s="1525"/>
      <c r="E461" s="1525"/>
      <c r="F461" s="1525"/>
      <c r="G461" s="1525"/>
      <c r="H461" s="1525"/>
      <c r="I461" s="1525"/>
      <c r="J461" s="1525"/>
      <c r="K461" s="1525"/>
      <c r="L461" s="1525"/>
      <c r="M461" s="1525"/>
      <c r="N461" s="1525"/>
      <c r="O461" s="1111"/>
      <c r="P461" s="1106"/>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2">
      <c r="D462" s="1526" t="str">
        <f>IF($Q$2=2,"Réconciliation détaillée du compte "&amp;F464&amp;" - "&amp;C464,"Detailed Reconciliation of the Account "&amp;F464&amp;" - "&amp;C464)</f>
        <v>Detailed Reconciliation of the Account 2080 - Disponible ~ Available</v>
      </c>
      <c r="E462" s="1526"/>
      <c r="F462" s="1526"/>
      <c r="G462" s="1526"/>
      <c r="H462" s="1526"/>
      <c r="I462" s="1526"/>
      <c r="J462" s="1526"/>
      <c r="K462" s="1526"/>
      <c r="L462" s="1526"/>
      <c r="M462" s="1526"/>
      <c r="N462" s="1113"/>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2">
      <c r="C463" s="1527" t="str">
        <f>IF($Q$2=2,"Réconciliation selon les livres comptables","Reconciliation as per BookKeeping")</f>
        <v>Reconciliation as per BookKeeping</v>
      </c>
      <c r="D463" s="1527"/>
      <c r="E463" s="1527"/>
      <c r="F463" s="1527"/>
      <c r="G463" s="1527"/>
      <c r="I463" s="1527" t="str">
        <f>IF($Q$2=2,"Réconciliation selon l'état de compte","Reconciliation as per Account Statement")</f>
        <v>Reconciliation as per Account Statement</v>
      </c>
      <c r="J463" s="1527"/>
      <c r="K463" s="1527"/>
      <c r="L463" s="1527"/>
      <c r="M463" s="1527"/>
      <c r="N463" s="1114"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25">
      <c r="C464" s="1528" t="str">
        <f>'Set up ~ Config'!G83</f>
        <v>Disponible ~ Available</v>
      </c>
      <c r="D464" s="1528"/>
      <c r="E464" s="1528"/>
      <c r="F464" s="1115" t="str">
        <f>LEFT('Set up ~ Config'!F83,4)</f>
        <v>2080</v>
      </c>
      <c r="G464" s="82"/>
      <c r="I464" s="1529"/>
      <c r="J464" s="1529"/>
      <c r="K464" s="1529"/>
      <c r="L464" s="1529"/>
      <c r="M464" s="1529"/>
      <c r="N464" s="1529"/>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25">
      <c r="C465" s="1530" t="str">
        <f>IF($Q$2=2,"Solde du compte au ","Account Balance on ")</f>
        <v xml:space="preserve">Account Balance on </v>
      </c>
      <c r="D465" s="1530"/>
      <c r="E465" s="1530"/>
      <c r="F465" s="1116">
        <f>DATEVALUE('Set up ~ Config'!$L$5)</f>
        <v>45535</v>
      </c>
      <c r="G465" s="1117">
        <f>'Set up ~ Config'!D83</f>
        <v>0</v>
      </c>
      <c r="H465" s="1"/>
      <c r="I465" s="1118" t="str">
        <f>IF($Q$2=2,"Date (aaaa-mm-jj):","Date (yyyy-mm-dd):")</f>
        <v>Date (yyyy-mm-dd):</v>
      </c>
      <c r="J465" s="957"/>
      <c r="K465" s="1531" t="str">
        <f>IF($Q$2=2,"Solde :","Balance :")</f>
        <v>Balance :</v>
      </c>
      <c r="L465" s="1532"/>
      <c r="M465" s="1533"/>
      <c r="N465" s="942"/>
      <c r="O465" s="1"/>
      <c r="P465" s="12"/>
      <c r="Q465" s="1542"/>
      <c r="R465" s="1542"/>
      <c r="S465" s="1542"/>
    </row>
    <row r="466" spans="3:62" ht="25.5" customHeight="1" thickTop="1" x14ac:dyDescent="0.2">
      <c r="C466" s="1536" t="str">
        <f>IF($Q$2=2," Plus: Accroissements (Jrnl des dépenses)","Plus: Increases (Expense Jrnl)")</f>
        <v>Plus: Increases (Expense Jrnl)</v>
      </c>
      <c r="D466" s="1536"/>
      <c r="E466" s="1536"/>
      <c r="F466" s="1536"/>
      <c r="G466" s="1117">
        <f>'Jrnl Exp ~ Dép'!G557</f>
        <v>0</v>
      </c>
      <c r="H466" s="1120"/>
      <c r="I466" s="1"/>
      <c r="J466" s="1"/>
      <c r="K466" s="1"/>
      <c r="L466" s="1"/>
      <c r="M466" s="1"/>
      <c r="N466" s="1"/>
      <c r="O466" s="1"/>
      <c r="P466" s="12"/>
      <c r="Q466" s="12"/>
      <c r="R466" s="12"/>
      <c r="S466" s="12"/>
    </row>
    <row r="467" spans="3:62" s="1" customFormat="1" ht="25.5" customHeight="1" x14ac:dyDescent="0.2">
      <c r="C467" s="1536" t="str">
        <f>IF($Q$2=2,"Moins: Décroissements (Jrnl des revenus)","Less: Decreases (Revenue Jrnl)")</f>
        <v>Less: Decreases (Revenue Jrnl)</v>
      </c>
      <c r="D467" s="1536"/>
      <c r="E467" s="1536"/>
      <c r="F467" s="1536"/>
      <c r="G467" s="1117">
        <f>'Jrnl Rev'!G557</f>
        <v>0</v>
      </c>
      <c r="J467" s="188"/>
      <c r="K467" s="188"/>
      <c r="L467" s="188"/>
      <c r="M467" s="188"/>
      <c r="N467" s="1121"/>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2">
      <c r="C468" s="1538"/>
      <c r="D468" s="1538"/>
      <c r="E468" s="1538"/>
      <c r="F468" s="1538"/>
      <c r="H468" s="1120"/>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25">
      <c r="C469" s="1537" t="str">
        <f>IF($Q$2=2,F464&amp;" Fonds disponible du compte",F464&amp;" Account Available Funds")</f>
        <v>2080 Account Available Funds</v>
      </c>
      <c r="D469" s="1537"/>
      <c r="E469" s="1537"/>
      <c r="F469" s="1537"/>
      <c r="G469" s="1122"/>
      <c r="I469" s="18"/>
      <c r="J469" s="12"/>
      <c r="K469" s="12"/>
      <c r="L469" s="12"/>
      <c r="M469" s="12"/>
      <c r="N469" s="1123"/>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25">
      <c r="C470" s="1539" t="str">
        <f>IF($Q$2=2,"Solde reporté à la ligne "&amp;F464&amp;" du Bilan - page 8","This balance fwrd'd to line "&amp;F464&amp;" of Balance Sheet -  page 8")</f>
        <v>This balance fwrd'd to line 2080 of Balance Sheet -  page 8</v>
      </c>
      <c r="D470" s="1539"/>
      <c r="E470" s="1539"/>
      <c r="F470" s="1539"/>
      <c r="G470" s="1124">
        <f>IF(AND(SUM(G465+G466-G467)&lt;0.001,SUM(G465+G466-G467)&gt;-0.001),0,SUM(G465+G466-G467))</f>
        <v>0</v>
      </c>
      <c r="H470" s="605"/>
      <c r="J470" s="82"/>
      <c r="K470" s="82"/>
      <c r="L470" s="82"/>
      <c r="M470" s="1125"/>
      <c r="N470" s="1124">
        <f>N465</f>
        <v>0</v>
      </c>
      <c r="P470" s="12"/>
      <c r="Q470" s="12"/>
      <c r="R470" s="12"/>
      <c r="S470" s="12"/>
      <c r="T470" s="12"/>
      <c r="U470" s="1119"/>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25">
      <c r="F471" s="189"/>
      <c r="J471" s="1120"/>
      <c r="M471" s="1126"/>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25">
      <c r="C472" s="1524"/>
      <c r="D472" s="1524"/>
      <c r="E472" s="1524"/>
      <c r="F472" s="1524"/>
      <c r="G472" s="1127">
        <f>IF(AND(G470-N470&lt;0.001,G470-N470&gt;-0.001),0,G470-N470)</f>
        <v>0</v>
      </c>
      <c r="H472" s="1534">
        <f>IF($Q$2=2,IF(G472=0,$T$8,$T$5),IF(G472=0,$T$9,$T$7))</f>
        <v>0</v>
      </c>
      <c r="I472" s="1534"/>
      <c r="J472" s="1534"/>
      <c r="K472" s="1534"/>
      <c r="L472" s="1534"/>
      <c r="M472" s="1534"/>
      <c r="N472" s="1535"/>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2">
      <c r="C473" s="1523"/>
      <c r="D473" s="1523"/>
      <c r="E473" s="1523"/>
      <c r="F473" s="1523"/>
      <c r="G473" s="1523"/>
      <c r="H473" s="1523"/>
      <c r="I473" s="1523"/>
      <c r="J473" s="1523"/>
      <c r="K473" s="1523"/>
      <c r="L473" s="1523"/>
      <c r="M473" s="1523"/>
      <c r="N473" s="1523"/>
      <c r="O473" s="1111"/>
      <c r="P473" s="1106"/>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2">
      <c r="C474" s="1525"/>
      <c r="D474" s="1525"/>
      <c r="E474" s="1525"/>
      <c r="F474" s="1525"/>
      <c r="G474" s="1525"/>
      <c r="H474" s="1525"/>
      <c r="I474" s="1525"/>
      <c r="J474" s="1525"/>
      <c r="K474" s="1525"/>
      <c r="L474" s="1525"/>
      <c r="M474" s="1525"/>
      <c r="N474" s="1525"/>
      <c r="O474" s="1111"/>
      <c r="P474" s="1106"/>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2">
      <c r="D475" s="1526" t="str">
        <f>IF($Q$2=2,"Réconciliation détaillée du compte "&amp;F477&amp;" - "&amp;C477,"Detailed Reconciliation of the Account "&amp;F477&amp;" - "&amp;C477)</f>
        <v>Detailed Reconciliation of the Account 2090 - Disponible ~ Available</v>
      </c>
      <c r="E475" s="1526"/>
      <c r="F475" s="1526"/>
      <c r="G475" s="1526"/>
      <c r="H475" s="1526"/>
      <c r="I475" s="1526"/>
      <c r="J475" s="1526"/>
      <c r="K475" s="1526"/>
      <c r="L475" s="1526"/>
      <c r="M475" s="1526"/>
      <c r="N475" s="1113"/>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2">
      <c r="C476" s="1527" t="str">
        <f>IF($Q$2=2,"Réconciliation selon les livres comptables","Reconciliation as per BookKeeping")</f>
        <v>Reconciliation as per BookKeeping</v>
      </c>
      <c r="D476" s="1527"/>
      <c r="E476" s="1527"/>
      <c r="F476" s="1527"/>
      <c r="G476" s="1527"/>
      <c r="I476" s="1527" t="str">
        <f>IF($Q$2=2,"Réconciliation selon l'état de compte","Reconciliation as per Account Statement")</f>
        <v>Reconciliation as per Account Statement</v>
      </c>
      <c r="J476" s="1527"/>
      <c r="K476" s="1527"/>
      <c r="L476" s="1527"/>
      <c r="M476" s="1527"/>
      <c r="N476" s="1114"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25">
      <c r="C477" s="1528" t="str">
        <f>'Set up ~ Config'!G84</f>
        <v>Disponible ~ Available</v>
      </c>
      <c r="D477" s="1528"/>
      <c r="E477" s="1528"/>
      <c r="F477" s="1115" t="str">
        <f>LEFT('Set up ~ Config'!F84,4)</f>
        <v>2090</v>
      </c>
      <c r="G477" s="82"/>
      <c r="I477" s="1529"/>
      <c r="J477" s="1529"/>
      <c r="K477" s="1529"/>
      <c r="L477" s="1529"/>
      <c r="M477" s="1529"/>
      <c r="N477" s="1529"/>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25">
      <c r="C478" s="1530" t="str">
        <f>IF($Q$2=2,"Solde du compte au ","Account Balance on ")</f>
        <v xml:space="preserve">Account Balance on </v>
      </c>
      <c r="D478" s="1530"/>
      <c r="E478" s="1530"/>
      <c r="F478" s="1116">
        <f>DATEVALUE('Set up ~ Config'!$L$5)</f>
        <v>45535</v>
      </c>
      <c r="G478" s="1117">
        <f>'Set up ~ Config'!D84</f>
        <v>0</v>
      </c>
      <c r="I478" s="1118" t="str">
        <f>IF($Q$2=2,"Date (aaaa-mm-jj):","Date (yyyy-mm-dd):")</f>
        <v>Date (yyyy-mm-dd):</v>
      </c>
      <c r="J478" s="957"/>
      <c r="K478" s="1531" t="str">
        <f>IF($Q$2=2,"Solde :","Balance :")</f>
        <v>Balance :</v>
      </c>
      <c r="L478" s="1532"/>
      <c r="M478" s="1533"/>
      <c r="N478" s="942"/>
      <c r="P478" s="12"/>
      <c r="Q478" s="1542"/>
      <c r="R478" s="1542"/>
      <c r="S478" s="1542"/>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2">
      <c r="C479" s="1536" t="str">
        <f>IF($Q$2=2," Plus: Accroissements (Jrnl des dépenses)","Plus: Increases (Expense Jrnl)")</f>
        <v>Plus: Increases (Expense Jrnl)</v>
      </c>
      <c r="D479" s="1536"/>
      <c r="E479" s="1536"/>
      <c r="F479" s="1536"/>
      <c r="G479" s="1117">
        <f>'Jrnl Exp ~ Dép'!G558</f>
        <v>0</v>
      </c>
      <c r="H479" s="1120"/>
      <c r="I479" s="1"/>
      <c r="J479" s="1"/>
      <c r="K479" s="1"/>
      <c r="L479" s="1"/>
      <c r="M479" s="1"/>
      <c r="N479" s="1"/>
      <c r="O479" s="1"/>
      <c r="P479" s="12"/>
      <c r="Q479" s="12"/>
      <c r="R479" s="12"/>
      <c r="S479" s="12"/>
    </row>
    <row r="480" spans="3:62" ht="25.5" customHeight="1" x14ac:dyDescent="0.2">
      <c r="C480" s="1536" t="str">
        <f>IF($Q$2=2,"Moins: Décroissements (Jrnl des revenus)","Less: Decreases (Revenue Jrnl)")</f>
        <v>Less: Decreases (Revenue Jrnl)</v>
      </c>
      <c r="D480" s="1536"/>
      <c r="E480" s="1536"/>
      <c r="F480" s="1536"/>
      <c r="G480" s="1117">
        <f>'Jrnl Rev'!G558</f>
        <v>0</v>
      </c>
      <c r="H480" s="1"/>
      <c r="J480" s="188"/>
      <c r="K480" s="188"/>
      <c r="L480" s="188"/>
      <c r="M480" s="188"/>
      <c r="N480" s="1121"/>
      <c r="O480" s="1"/>
      <c r="P480" s="12"/>
      <c r="Q480" s="12"/>
      <c r="R480" s="12"/>
      <c r="S480" s="12"/>
    </row>
    <row r="481" spans="3:62" s="1" customFormat="1" ht="25.5" customHeight="1" x14ac:dyDescent="0.2">
      <c r="C481" s="1538"/>
      <c r="D481" s="1538"/>
      <c r="E481" s="1538"/>
      <c r="F481" s="1538"/>
      <c r="H481" s="1120"/>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25">
      <c r="C482" s="1537" t="str">
        <f>IF($Q$2=2,F477&amp;" Fonds disponible du compte",F477&amp;" Account Available Funds")</f>
        <v>2090 Account Available Funds</v>
      </c>
      <c r="D482" s="1537"/>
      <c r="E482" s="1537"/>
      <c r="F482" s="1537"/>
      <c r="G482" s="1122"/>
      <c r="I482" s="18"/>
      <c r="J482" s="12"/>
      <c r="K482" s="12"/>
      <c r="L482" s="12"/>
      <c r="M482" s="12"/>
      <c r="N482" s="1123"/>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25">
      <c r="C483" s="1539" t="str">
        <f>IF($Q$2=2,"Solde reporté à la ligne "&amp;F477&amp;" du Bilan - page 8","This balance fwrd'd to line "&amp;F477&amp;" of Balance Sheet -  page 8")</f>
        <v>This balance fwrd'd to line 2090 of Balance Sheet -  page 8</v>
      </c>
      <c r="D483" s="1539"/>
      <c r="E483" s="1539"/>
      <c r="F483" s="1539"/>
      <c r="G483" s="1124">
        <f>IF(AND(SUM(G478+G479-G480)&lt;0.001,SUM(G478+G479-G480)&gt;-0.001),0,SUM(G478+G479-G480))</f>
        <v>0</v>
      </c>
      <c r="H483" s="605"/>
      <c r="J483" s="82"/>
      <c r="K483" s="82"/>
      <c r="L483" s="82"/>
      <c r="M483" s="1125"/>
      <c r="N483" s="1124">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25">
      <c r="F484" s="189"/>
      <c r="J484" s="1120"/>
      <c r="M484" s="1126"/>
      <c r="P484" s="12"/>
      <c r="Q484" s="12"/>
      <c r="R484" s="12"/>
      <c r="S484" s="12"/>
      <c r="T484" s="12"/>
      <c r="U484" s="1119"/>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25">
      <c r="C485" s="1524"/>
      <c r="D485" s="1524"/>
      <c r="E485" s="1524"/>
      <c r="F485" s="1524"/>
      <c r="G485" s="1127">
        <f>IF(AND(G483-N483&lt;0.001,G483-N483&gt;-0.001),0,G483-N483)</f>
        <v>0</v>
      </c>
      <c r="H485" s="1534">
        <f>IF($Q$2=2,IF(G485=0,$T$8,$T$5),IF(G485=0,$T$9,$T$7))</f>
        <v>0</v>
      </c>
      <c r="I485" s="1534"/>
      <c r="J485" s="1534"/>
      <c r="K485" s="1534"/>
      <c r="L485" s="1534"/>
      <c r="M485" s="1534"/>
      <c r="N485" s="1535"/>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2">
      <c r="C486" s="1523"/>
      <c r="D486" s="1523"/>
      <c r="E486" s="1523"/>
      <c r="F486" s="1523"/>
      <c r="G486" s="1523"/>
      <c r="H486" s="1523"/>
      <c r="I486" s="1523"/>
      <c r="J486" s="1523"/>
      <c r="K486" s="1523"/>
      <c r="L486" s="1523"/>
      <c r="M486" s="1523"/>
      <c r="N486" s="1523"/>
      <c r="O486" s="1111"/>
      <c r="P486" s="1106"/>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2">
      <c r="C487" s="1525"/>
      <c r="D487" s="1525"/>
      <c r="E487" s="1525"/>
      <c r="F487" s="1525"/>
      <c r="G487" s="1525"/>
      <c r="H487" s="1525"/>
      <c r="I487" s="1525"/>
      <c r="J487" s="1525"/>
      <c r="K487" s="1525"/>
      <c r="L487" s="1525"/>
      <c r="M487" s="1525"/>
      <c r="N487" s="1525"/>
      <c r="O487" s="1111"/>
      <c r="P487" s="1106"/>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2">
      <c r="D488" s="1526" t="str">
        <f>IF($Q$2=2,"Réconciliation détaillée du compte "&amp;F490&amp;" - "&amp;C490,"Detailed Reconciliation of the Account "&amp;F490&amp;" - "&amp;C490)</f>
        <v>Detailed Reconciliation of the Account 2210 - Mortgage</v>
      </c>
      <c r="E488" s="1526"/>
      <c r="F488" s="1526"/>
      <c r="G488" s="1526"/>
      <c r="H488" s="1526"/>
      <c r="I488" s="1526"/>
      <c r="J488" s="1526"/>
      <c r="K488" s="1526"/>
      <c r="L488" s="1526"/>
      <c r="M488" s="1526"/>
      <c r="N488" s="1113"/>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2">
      <c r="C489" s="1527" t="str">
        <f>IF($Q$2=2,"Réconciliation selon les livres comptables","Reconciliation as per BookKeeping")</f>
        <v>Reconciliation as per BookKeeping</v>
      </c>
      <c r="D489" s="1527"/>
      <c r="E489" s="1527"/>
      <c r="F489" s="1527"/>
      <c r="G489" s="1527"/>
      <c r="I489" s="1527" t="str">
        <f>IF($Q$2=2,"Réconciliation selon l'état de compte","Reconciliation as per Account Statement")</f>
        <v>Reconciliation as per Account Statement</v>
      </c>
      <c r="J489" s="1527"/>
      <c r="K489" s="1527"/>
      <c r="L489" s="1527"/>
      <c r="M489" s="1527"/>
      <c r="N489" s="1114"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25">
      <c r="C490" s="1528" t="str">
        <f>'Set up ~ Config'!G86</f>
        <v>Mortgage</v>
      </c>
      <c r="D490" s="1528"/>
      <c r="E490" s="1528"/>
      <c r="F490" s="1115" t="str">
        <f>LEFT('Set up ~ Config'!F86,4)</f>
        <v>2210</v>
      </c>
      <c r="G490" s="82"/>
      <c r="I490" s="1529"/>
      <c r="J490" s="1529"/>
      <c r="K490" s="1529"/>
      <c r="L490" s="1529"/>
      <c r="M490" s="1529"/>
      <c r="N490" s="1529"/>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25">
      <c r="C491" s="1530" t="str">
        <f>IF($Q$2=2,"Solde du compte au ","Account Balance on ")</f>
        <v xml:space="preserve">Account Balance on </v>
      </c>
      <c r="D491" s="1530"/>
      <c r="E491" s="1530"/>
      <c r="F491" s="1116">
        <f>DATEVALUE('Set up ~ Config'!$L$5)</f>
        <v>45535</v>
      </c>
      <c r="G491" s="1117">
        <f>'Set up ~ Config'!D86</f>
        <v>0</v>
      </c>
      <c r="I491" s="1118" t="str">
        <f>IF($Q$2=2,"Date (aaaa-mm-jj):","Date (yyyy-mm-dd):")</f>
        <v>Date (yyyy-mm-dd):</v>
      </c>
      <c r="J491" s="957"/>
      <c r="K491" s="1531" t="str">
        <f>IF($Q$2=2,"Solde :","Balance :")</f>
        <v>Balance :</v>
      </c>
      <c r="L491" s="1532"/>
      <c r="M491" s="1533"/>
      <c r="N491" s="942"/>
      <c r="P491" s="12"/>
      <c r="Q491" s="1542"/>
      <c r="R491" s="1542"/>
      <c r="S491" s="1542"/>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2">
      <c r="C492" s="1536" t="str">
        <f>IF($Q$2=2," Plus: Accroissements (Jrnl des dépenses)","Plus: Increases (Expense Jrnl)")</f>
        <v>Plus: Increases (Expense Jrnl)</v>
      </c>
      <c r="D492" s="1536"/>
      <c r="E492" s="1536"/>
      <c r="F492" s="1536"/>
      <c r="G492" s="1117">
        <f>'Jrnl Exp ~ Dép'!G559</f>
        <v>0</v>
      </c>
      <c r="H492" s="1120"/>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2">
      <c r="C493" s="1536" t="str">
        <f>IF($Q$2=2,"Moins: Décroissements (Jrnl des revenus)","Less: Decreases (Revenue Jrnl)")</f>
        <v>Less: Decreases (Revenue Jrnl)</v>
      </c>
      <c r="D493" s="1536"/>
      <c r="E493" s="1536"/>
      <c r="F493" s="1536"/>
      <c r="G493" s="1117">
        <f>'Jrnl Rev'!G559</f>
        <v>0</v>
      </c>
      <c r="H493" s="1"/>
      <c r="J493" s="188"/>
      <c r="K493" s="188"/>
      <c r="L493" s="188"/>
      <c r="M493" s="188"/>
      <c r="N493" s="1121"/>
      <c r="O493" s="1"/>
      <c r="P493" s="12"/>
      <c r="Q493" s="12"/>
      <c r="R493" s="12"/>
      <c r="S493" s="12"/>
    </row>
    <row r="494" spans="3:62" ht="25.5" customHeight="1" x14ac:dyDescent="0.2">
      <c r="C494" s="1538"/>
      <c r="D494" s="1538"/>
      <c r="E494" s="1538"/>
      <c r="F494" s="1538"/>
      <c r="G494" s="1"/>
      <c r="H494" s="1120"/>
      <c r="I494" s="1"/>
      <c r="J494" s="1"/>
      <c r="K494" s="1"/>
      <c r="L494" s="1"/>
      <c r="M494" s="1"/>
      <c r="N494" s="1"/>
      <c r="O494" s="1"/>
      <c r="P494" s="12"/>
      <c r="Q494" s="12"/>
      <c r="R494" s="12"/>
      <c r="S494" s="12"/>
    </row>
    <row r="495" spans="3:62" s="1" customFormat="1" ht="25.5" customHeight="1" thickBot="1" x14ac:dyDescent="0.25">
      <c r="C495" s="1537" t="str">
        <f>IF($Q$2=2,F490&amp;" Fonds disponible du compte",F490&amp;" Account Available Funds")</f>
        <v>2210 Account Available Funds</v>
      </c>
      <c r="D495" s="1537"/>
      <c r="E495" s="1537"/>
      <c r="F495" s="1537"/>
      <c r="G495" s="1122"/>
      <c r="I495" s="18"/>
      <c r="J495" s="12"/>
      <c r="K495" s="12"/>
      <c r="L495" s="12"/>
      <c r="M495" s="12"/>
      <c r="N495" s="1123"/>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25">
      <c r="C496" s="1539" t="str">
        <f>IF($Q$2=2,"Solde reporté à la ligne "&amp;F490&amp;" du Bilan - page 8","This balance fwrd'd to line "&amp;F490&amp;" of Balance Sheet -  page 8")</f>
        <v>This balance fwrd'd to line 2210 of Balance Sheet -  page 8</v>
      </c>
      <c r="D496" s="1539"/>
      <c r="E496" s="1539"/>
      <c r="F496" s="1539"/>
      <c r="G496" s="1124">
        <f>IF(AND(SUM(G491+G492-G493)&lt;0.001,SUM(G491+G492-G493)&gt;-0.001),0,SUM(G491+G492-G493))</f>
        <v>0</v>
      </c>
      <c r="H496" s="605"/>
      <c r="J496" s="82"/>
      <c r="K496" s="82"/>
      <c r="L496" s="82"/>
      <c r="M496" s="1125"/>
      <c r="N496" s="1124">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25">
      <c r="F497" s="189"/>
      <c r="J497" s="1120"/>
      <c r="M497" s="1126"/>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25">
      <c r="C498" s="1524"/>
      <c r="D498" s="1524"/>
      <c r="E498" s="1524"/>
      <c r="F498" s="1524"/>
      <c r="G498" s="1127">
        <f>IF(AND(G496-N496&lt;0.001,G496-N496&gt;-0.001),0,G496-N496)</f>
        <v>0</v>
      </c>
      <c r="H498" s="1534">
        <f>IF($Q$2=2,IF(G498=0,$T$8,$T$5),IF(G498=0,$T$9,$T$7))</f>
        <v>0</v>
      </c>
      <c r="I498" s="1534"/>
      <c r="J498" s="1534"/>
      <c r="K498" s="1534"/>
      <c r="L498" s="1534"/>
      <c r="M498" s="1534"/>
      <c r="N498" s="1535"/>
      <c r="P498" s="12"/>
      <c r="Q498" s="12"/>
      <c r="R498" s="12"/>
      <c r="S498" s="12"/>
      <c r="T498" s="12"/>
      <c r="U498" s="1119"/>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2">
      <c r="C499" s="1523"/>
      <c r="D499" s="1523"/>
      <c r="E499" s="1523"/>
      <c r="F499" s="1523"/>
      <c r="G499" s="1523"/>
      <c r="H499" s="1523"/>
      <c r="I499" s="1523"/>
      <c r="J499" s="1523"/>
      <c r="K499" s="1523"/>
      <c r="L499" s="1523"/>
      <c r="M499" s="1523"/>
      <c r="N499" s="1523"/>
      <c r="O499" s="1111"/>
      <c r="P499" s="1106"/>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2">
      <c r="C500" s="1525"/>
      <c r="D500" s="1525"/>
      <c r="E500" s="1525"/>
      <c r="F500" s="1525"/>
      <c r="G500" s="1525"/>
      <c r="H500" s="1525"/>
      <c r="I500" s="1525"/>
      <c r="J500" s="1525"/>
      <c r="K500" s="1525"/>
      <c r="L500" s="1525"/>
      <c r="M500" s="1525"/>
      <c r="N500" s="1525"/>
      <c r="O500" s="1111"/>
      <c r="P500" s="1106"/>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2">
      <c r="D501" s="1526" t="str">
        <f>IF($Q$2=2,"Réconciliation détaillée du compte "&amp;F503&amp;" - "&amp;C503,"Detailed Reconciliation of the Account "&amp;F503&amp;" - "&amp;C503)</f>
        <v>Detailed Reconciliation of the Account 2220 - Bank Loan</v>
      </c>
      <c r="E501" s="1526"/>
      <c r="F501" s="1526"/>
      <c r="G501" s="1526"/>
      <c r="H501" s="1526"/>
      <c r="I501" s="1526"/>
      <c r="J501" s="1526"/>
      <c r="K501" s="1526"/>
      <c r="L501" s="1526"/>
      <c r="M501" s="1526"/>
      <c r="N501" s="1113"/>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2">
      <c r="C502" s="1527" t="str">
        <f>IF($Q$2=2,"Réconciliation selon les livres comptables","Reconciliation as per BookKeeping")</f>
        <v>Reconciliation as per BookKeeping</v>
      </c>
      <c r="D502" s="1527"/>
      <c r="E502" s="1527"/>
      <c r="F502" s="1527"/>
      <c r="G502" s="1527"/>
      <c r="I502" s="1527" t="str">
        <f>IF($Q$2=2,"Réconciliation selon l'état de compte","Reconciliation as per Account Statement")</f>
        <v>Reconciliation as per Account Statement</v>
      </c>
      <c r="J502" s="1527"/>
      <c r="K502" s="1527"/>
      <c r="L502" s="1527"/>
      <c r="M502" s="1527"/>
      <c r="N502" s="1114"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25">
      <c r="C503" s="1528" t="str">
        <f>'Set up ~ Config'!G87</f>
        <v>Bank Loan</v>
      </c>
      <c r="D503" s="1528"/>
      <c r="E503" s="1528"/>
      <c r="F503" s="1115" t="str">
        <f>LEFT('Set up ~ Config'!F87,4)</f>
        <v>2220</v>
      </c>
      <c r="G503" s="82"/>
      <c r="I503" s="1529"/>
      <c r="J503" s="1529"/>
      <c r="K503" s="1529"/>
      <c r="L503" s="1529"/>
      <c r="M503" s="1529"/>
      <c r="N503" s="1529"/>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25">
      <c r="C504" s="1530" t="str">
        <f>IF($Q$2=2,"Solde du compte au ","Account Balance on ")</f>
        <v xml:space="preserve">Account Balance on </v>
      </c>
      <c r="D504" s="1530"/>
      <c r="E504" s="1530"/>
      <c r="F504" s="1116">
        <f>DATEVALUE('Set up ~ Config'!$L$5)</f>
        <v>45535</v>
      </c>
      <c r="G504" s="1117">
        <f>'Set up ~ Config'!D87</f>
        <v>0</v>
      </c>
      <c r="I504" s="1118" t="str">
        <f>IF($Q$2=2,"Date (aaaa-mm-jj):","Date (yyyy-mm-dd):")</f>
        <v>Date (yyyy-mm-dd):</v>
      </c>
      <c r="J504" s="957"/>
      <c r="K504" s="1531" t="str">
        <f>IF($Q$2=2,"Solde :","Balance :")</f>
        <v>Balance :</v>
      </c>
      <c r="L504" s="1532"/>
      <c r="M504" s="1533"/>
      <c r="N504" s="942"/>
      <c r="P504" s="12"/>
      <c r="Q504" s="1542"/>
      <c r="R504" s="1542"/>
      <c r="S504" s="1542"/>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2">
      <c r="C505" s="1536" t="str">
        <f>IF($Q$2=2," Plus: Accroissements (Jrnl des dépenses)","Plus: Increases (Expense Jrnl)")</f>
        <v>Plus: Increases (Expense Jrnl)</v>
      </c>
      <c r="D505" s="1536"/>
      <c r="E505" s="1536"/>
      <c r="F505" s="1536"/>
      <c r="G505" s="1117">
        <f>'Jrnl Exp ~ Dép'!G560</f>
        <v>0</v>
      </c>
      <c r="H505" s="1120"/>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2">
      <c r="C506" s="1536" t="str">
        <f>IF($Q$2=2,"Moins: Décroissements (Jrnl des revenus)","Less: Decreases (Revenue Jrnl)")</f>
        <v>Less: Decreases (Revenue Jrnl)</v>
      </c>
      <c r="D506" s="1536"/>
      <c r="E506" s="1536"/>
      <c r="F506" s="1536"/>
      <c r="G506" s="1117">
        <f>'Jrnl Rev'!G560</f>
        <v>0</v>
      </c>
      <c r="J506" s="188"/>
      <c r="K506" s="188"/>
      <c r="L506" s="188"/>
      <c r="M506" s="188"/>
      <c r="N506" s="1121"/>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2">
      <c r="C507" s="1538"/>
      <c r="D507" s="1538"/>
      <c r="E507" s="1538"/>
      <c r="F507" s="1538"/>
      <c r="G507" s="1"/>
      <c r="H507" s="1120"/>
      <c r="I507" s="1"/>
      <c r="J507" s="1"/>
      <c r="K507" s="1"/>
      <c r="L507" s="1"/>
      <c r="M507" s="1"/>
      <c r="N507" s="1"/>
      <c r="O507" s="1"/>
      <c r="P507" s="12"/>
      <c r="Q507" s="12"/>
      <c r="R507" s="12"/>
      <c r="S507" s="12"/>
    </row>
    <row r="508" spans="3:62" ht="25.5" customHeight="1" thickBot="1" x14ac:dyDescent="0.25">
      <c r="C508" s="1537" t="str">
        <f>IF($Q$2=2,F503&amp;" Fonds disponible du compte",F503&amp;" Account Available Funds")</f>
        <v>2220 Account Available Funds</v>
      </c>
      <c r="D508" s="1537"/>
      <c r="E508" s="1537"/>
      <c r="F508" s="1537"/>
      <c r="G508" s="1122"/>
      <c r="H508" s="1"/>
      <c r="I508" s="18"/>
      <c r="J508" s="12"/>
      <c r="K508" s="12"/>
      <c r="L508" s="12"/>
      <c r="M508" s="12"/>
      <c r="N508" s="1123"/>
      <c r="O508" s="1"/>
      <c r="P508" s="12"/>
      <c r="Q508" s="12"/>
      <c r="R508" s="12"/>
      <c r="S508" s="12"/>
    </row>
    <row r="509" spans="3:62" s="1" customFormat="1" ht="25.5" customHeight="1" thickBot="1" x14ac:dyDescent="0.25">
      <c r="C509" s="1539" t="str">
        <f>IF($Q$2=2,"Solde reporté à la ligne "&amp;F503&amp;" du Bilan - page 8","This balance fwrd'd to line "&amp;F503&amp;" of Balance Sheet -  page 8")</f>
        <v>This balance fwrd'd to line 2220 of Balance Sheet -  page 8</v>
      </c>
      <c r="D509" s="1539"/>
      <c r="E509" s="1539"/>
      <c r="F509" s="1539"/>
      <c r="G509" s="1124">
        <f>IF(AND(SUM(G504+G505-G506)&lt;0.001,SUM(G504+G505-G506)&gt;-0.001),0,SUM(G504+G505-G506))</f>
        <v>0</v>
      </c>
      <c r="H509" s="605"/>
      <c r="J509" s="82"/>
      <c r="K509" s="82"/>
      <c r="L509" s="82"/>
      <c r="M509" s="1125"/>
      <c r="N509" s="1124">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25">
      <c r="F510" s="189"/>
      <c r="J510" s="1120"/>
      <c r="M510" s="1126"/>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25">
      <c r="C511" s="1524"/>
      <c r="D511" s="1524"/>
      <c r="E511" s="1524"/>
      <c r="F511" s="1524"/>
      <c r="G511" s="1127">
        <f>IF(AND(G509-N509&lt;0.001,G509-N509&gt;-0.001),0,G509-N509)</f>
        <v>0</v>
      </c>
      <c r="H511" s="1534">
        <f>IF($Q$2=2,IF(G511=0,$T$8,$T$5),IF(G511=0,$T$9,$T$7))</f>
        <v>0</v>
      </c>
      <c r="I511" s="1534"/>
      <c r="J511" s="1534"/>
      <c r="K511" s="1534"/>
      <c r="L511" s="1534"/>
      <c r="M511" s="1534"/>
      <c r="N511" s="1535"/>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2">
      <c r="C512" s="1523"/>
      <c r="D512" s="1523"/>
      <c r="E512" s="1523"/>
      <c r="F512" s="1523"/>
      <c r="G512" s="1523"/>
      <c r="H512" s="1523"/>
      <c r="I512" s="1523"/>
      <c r="J512" s="1523"/>
      <c r="K512" s="1523"/>
      <c r="L512" s="1523"/>
      <c r="M512" s="1523"/>
      <c r="N512" s="1523"/>
      <c r="O512" s="1111"/>
      <c r="P512" s="1106"/>
      <c r="R512" s="12"/>
      <c r="S512" s="12"/>
      <c r="T512" s="12"/>
      <c r="U512" s="1119"/>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2">
      <c r="C513" s="1525"/>
      <c r="D513" s="1525"/>
      <c r="E513" s="1525"/>
      <c r="F513" s="1525"/>
      <c r="G513" s="1525"/>
      <c r="H513" s="1525"/>
      <c r="I513" s="1525"/>
      <c r="J513" s="1525"/>
      <c r="K513" s="1525"/>
      <c r="L513" s="1525"/>
      <c r="M513" s="1525"/>
      <c r="N513" s="1525"/>
      <c r="O513" s="1111"/>
      <c r="P513" s="1106"/>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2">
      <c r="D514" s="1526" t="str">
        <f>IF($Q$2=2,"Réconciliation détaillée du compte "&amp;F516&amp;" - "&amp;C516,"Detailed Reconciliation of the Account "&amp;F516&amp;" - "&amp;C516)</f>
        <v>Detailed Reconciliation of the Account 2230 - Disponible ~ Available</v>
      </c>
      <c r="E514" s="1526"/>
      <c r="F514" s="1526"/>
      <c r="G514" s="1526"/>
      <c r="H514" s="1526"/>
      <c r="I514" s="1526"/>
      <c r="J514" s="1526"/>
      <c r="K514" s="1526"/>
      <c r="L514" s="1526"/>
      <c r="M514" s="1526"/>
      <c r="N514" s="1113"/>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2">
      <c r="C515" s="1527" t="str">
        <f>IF($Q$2=2,"Réconciliation selon les livres comptables","Reconciliation as per BookKeeping")</f>
        <v>Reconciliation as per BookKeeping</v>
      </c>
      <c r="D515" s="1527"/>
      <c r="E515" s="1527"/>
      <c r="F515" s="1527"/>
      <c r="G515" s="1527"/>
      <c r="I515" s="1527" t="str">
        <f>IF($Q$2=2,"Réconciliation selon l'état de compte","Reconciliation as per Account Statement")</f>
        <v>Reconciliation as per Account Statement</v>
      </c>
      <c r="J515" s="1527"/>
      <c r="K515" s="1527"/>
      <c r="L515" s="1527"/>
      <c r="M515" s="1527"/>
      <c r="N515" s="1114"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25">
      <c r="C516" s="1528" t="str">
        <f>'Set up ~ Config'!G88</f>
        <v>Disponible ~ Available</v>
      </c>
      <c r="D516" s="1528"/>
      <c r="E516" s="1528"/>
      <c r="F516" s="1115" t="str">
        <f>LEFT('Set up ~ Config'!F88,4)</f>
        <v>2230</v>
      </c>
      <c r="G516" s="82"/>
      <c r="I516" s="1529"/>
      <c r="J516" s="1529"/>
      <c r="K516" s="1529"/>
      <c r="L516" s="1529"/>
      <c r="M516" s="1529"/>
      <c r="N516" s="1529"/>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25">
      <c r="C517" s="1530" t="str">
        <f>IF($Q$2=2,"Solde du compte au ","Account Balance on ")</f>
        <v xml:space="preserve">Account Balance on </v>
      </c>
      <c r="D517" s="1530"/>
      <c r="E517" s="1530"/>
      <c r="F517" s="1116">
        <f>DATEVALUE('Set up ~ Config'!$L$5)</f>
        <v>45535</v>
      </c>
      <c r="G517" s="1117">
        <f>'Set up ~ Config'!D88</f>
        <v>0</v>
      </c>
      <c r="I517" s="1118" t="str">
        <f>IF($Q$2=2,"Date (aaaa-mm-jj):","Date (yyyy-mm-dd):")</f>
        <v>Date (yyyy-mm-dd):</v>
      </c>
      <c r="J517" s="957"/>
      <c r="K517" s="1531" t="str">
        <f>IF($Q$2=2,"Solde :","Balance :")</f>
        <v>Balance :</v>
      </c>
      <c r="L517" s="1532"/>
      <c r="M517" s="1533"/>
      <c r="N517" s="942"/>
      <c r="P517" s="12"/>
      <c r="Q517" s="1542"/>
      <c r="R517" s="1542"/>
      <c r="S517" s="1542"/>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2">
      <c r="C518" s="1536" t="str">
        <f>IF($Q$2=2," Plus: Accroissements (Jrnl des dépenses)","Plus: Increases (Expense Jrnl)")</f>
        <v>Plus: Increases (Expense Jrnl)</v>
      </c>
      <c r="D518" s="1536"/>
      <c r="E518" s="1536"/>
      <c r="F518" s="1536"/>
      <c r="G518" s="1117">
        <f>'Jrnl Exp ~ Dép'!G561</f>
        <v>0</v>
      </c>
      <c r="H518" s="1120"/>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2">
      <c r="C519" s="1536" t="str">
        <f>IF($Q$2=2,"Moins: Décroissements (Jrnl des revenus)","Less: Decreases (Revenue Jrnl)")</f>
        <v>Less: Decreases (Revenue Jrnl)</v>
      </c>
      <c r="D519" s="1536"/>
      <c r="E519" s="1536"/>
      <c r="F519" s="1536"/>
      <c r="G519" s="1117">
        <f>'Jrnl Rev'!G561</f>
        <v>0</v>
      </c>
      <c r="J519" s="188"/>
      <c r="K519" s="188"/>
      <c r="L519" s="188"/>
      <c r="M519" s="188"/>
      <c r="N519" s="1121"/>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2">
      <c r="C520" s="1538"/>
      <c r="D520" s="1538"/>
      <c r="E520" s="1538"/>
      <c r="F520" s="1538"/>
      <c r="H520" s="1120"/>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25">
      <c r="C521" s="1537" t="str">
        <f>IF($Q$2=2,F516&amp;" Fonds disponible du compte",F516&amp;" Account Available Funds")</f>
        <v>2230 Account Available Funds</v>
      </c>
      <c r="D521" s="1537"/>
      <c r="E521" s="1537"/>
      <c r="F521" s="1537"/>
      <c r="G521" s="1122"/>
      <c r="H521" s="1"/>
      <c r="I521" s="18"/>
      <c r="J521" s="12"/>
      <c r="K521" s="12"/>
      <c r="L521" s="12"/>
      <c r="M521" s="12"/>
      <c r="N521" s="1123"/>
      <c r="O521" s="1"/>
      <c r="P521" s="12"/>
      <c r="Q521" s="12"/>
      <c r="R521" s="12"/>
      <c r="S521" s="12"/>
    </row>
    <row r="522" spans="3:62" ht="25.5" customHeight="1" thickBot="1" x14ac:dyDescent="0.25">
      <c r="C522" s="1539" t="str">
        <f>IF($Q$2=2,"Solde reporté à la ligne "&amp;F516&amp;" du Bilan - page 8","This balance fwrd'd to line "&amp;F516&amp;" of Balance Sheet -  page 8")</f>
        <v>This balance fwrd'd to line 2230 of Balance Sheet -  page 8</v>
      </c>
      <c r="D522" s="1539"/>
      <c r="E522" s="1539"/>
      <c r="F522" s="1539"/>
      <c r="G522" s="1124">
        <f>IF(AND(SUM(G517+G518-G519)&lt;0.001,SUM(G517+G518-G519)&gt;-0.001),0,SUM(G517+G518-G519))</f>
        <v>0</v>
      </c>
      <c r="H522" s="605"/>
      <c r="I522" s="1"/>
      <c r="J522" s="82"/>
      <c r="K522" s="82"/>
      <c r="L522" s="82"/>
      <c r="M522" s="1125"/>
      <c r="N522" s="1124">
        <f>N517</f>
        <v>0</v>
      </c>
      <c r="O522" s="1"/>
      <c r="P522" s="12"/>
      <c r="Q522" s="12"/>
      <c r="R522" s="12"/>
      <c r="S522" s="12"/>
    </row>
    <row r="523" spans="3:62" s="1" customFormat="1" ht="9.75" customHeight="1" thickBot="1" x14ac:dyDescent="0.25">
      <c r="F523" s="189"/>
      <c r="J523" s="1120"/>
      <c r="M523" s="1126"/>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25">
      <c r="C524" s="1524"/>
      <c r="D524" s="1524"/>
      <c r="E524" s="1524"/>
      <c r="F524" s="1524"/>
      <c r="G524" s="1127">
        <f>IF(AND(G522-N522&lt;0.001,G522-N522&gt;-0.001),0,G522-N522)</f>
        <v>0</v>
      </c>
      <c r="H524" s="1534">
        <f>IF($Q$2=2,IF(G524=0,$T$8,$T$5),IF(G524=0,$T$9,$T$7))</f>
        <v>0</v>
      </c>
      <c r="I524" s="1534"/>
      <c r="J524" s="1534"/>
      <c r="K524" s="1534"/>
      <c r="L524" s="1534"/>
      <c r="M524" s="1534"/>
      <c r="N524" s="1535"/>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2">
      <c r="C525" s="1523"/>
      <c r="D525" s="1523"/>
      <c r="E525" s="1523"/>
      <c r="F525" s="1523"/>
      <c r="G525" s="1523"/>
      <c r="H525" s="1523"/>
      <c r="I525" s="1523"/>
      <c r="J525" s="1523"/>
      <c r="K525" s="1523"/>
      <c r="L525" s="1523"/>
      <c r="M525" s="1523"/>
      <c r="N525" s="1523"/>
      <c r="O525" s="1111"/>
      <c r="P525" s="1106"/>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2">
      <c r="C526" s="1525"/>
      <c r="D526" s="1525"/>
      <c r="E526" s="1525"/>
      <c r="F526" s="1525"/>
      <c r="G526" s="1525"/>
      <c r="H526" s="1525"/>
      <c r="I526" s="1525"/>
      <c r="J526" s="1525"/>
      <c r="K526" s="1525"/>
      <c r="L526" s="1525"/>
      <c r="M526" s="1525"/>
      <c r="N526" s="1525"/>
      <c r="O526" s="1111"/>
      <c r="P526" s="1106"/>
      <c r="R526" s="12"/>
      <c r="S526" s="12"/>
      <c r="T526" s="12"/>
      <c r="U526" s="1119"/>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2">
      <c r="D527" s="1526" t="str">
        <f>IF($Q$2=2,"Réconciliation détaillée du compte "&amp;F529&amp;" - "&amp;C529,"Detailed Reconciliation of the Account "&amp;F529&amp;" - "&amp;C529)</f>
        <v>Detailed Reconciliation of the Account 2240 - Disponible ~ Available</v>
      </c>
      <c r="E527" s="1526"/>
      <c r="F527" s="1526"/>
      <c r="G527" s="1526"/>
      <c r="H527" s="1526"/>
      <c r="I527" s="1526"/>
      <c r="J527" s="1526"/>
      <c r="K527" s="1526"/>
      <c r="L527" s="1526"/>
      <c r="M527" s="1526"/>
      <c r="N527" s="1113"/>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2">
      <c r="C528" s="1527" t="str">
        <f>IF($Q$2=2,"Réconciliation selon les livres comptables","Reconciliation as per BookKeeping")</f>
        <v>Reconciliation as per BookKeeping</v>
      </c>
      <c r="D528" s="1527"/>
      <c r="E528" s="1527"/>
      <c r="F528" s="1527"/>
      <c r="G528" s="1527"/>
      <c r="I528" s="1527" t="str">
        <f>IF($Q$2=2,"Réconciliation selon l'état de compte","Reconciliation as per Account Statement")</f>
        <v>Reconciliation as per Account Statement</v>
      </c>
      <c r="J528" s="1527"/>
      <c r="K528" s="1527"/>
      <c r="L528" s="1527"/>
      <c r="M528" s="1527"/>
      <c r="N528" s="1114"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25">
      <c r="C529" s="1528" t="str">
        <f>'Set up ~ Config'!G89</f>
        <v>Disponible ~ Available</v>
      </c>
      <c r="D529" s="1528"/>
      <c r="E529" s="1528"/>
      <c r="F529" s="1115" t="str">
        <f>LEFT('Set up ~ Config'!F89,4)</f>
        <v>2240</v>
      </c>
      <c r="G529" s="82"/>
      <c r="I529" s="1529"/>
      <c r="J529" s="1529"/>
      <c r="K529" s="1529"/>
      <c r="L529" s="1529"/>
      <c r="M529" s="1529"/>
      <c r="N529" s="1529"/>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25">
      <c r="C530" s="1530" t="str">
        <f>IF($Q$2=2,"Solde du compte au ","Account Balance on ")</f>
        <v xml:space="preserve">Account Balance on </v>
      </c>
      <c r="D530" s="1530"/>
      <c r="E530" s="1530"/>
      <c r="F530" s="1116">
        <f>DATEVALUE('Set up ~ Config'!$L$5)</f>
        <v>45535</v>
      </c>
      <c r="G530" s="1117">
        <f>'Set up ~ Config'!D89</f>
        <v>0</v>
      </c>
      <c r="I530" s="1118" t="str">
        <f>IF($Q$2=2,"Date (aaaa-mm-jj):","Date (yyyy-mm-dd):")</f>
        <v>Date (yyyy-mm-dd):</v>
      </c>
      <c r="J530" s="957"/>
      <c r="K530" s="1531" t="str">
        <f>IF($Q$2=2,"Solde :","Balance :")</f>
        <v>Balance :</v>
      </c>
      <c r="L530" s="1532"/>
      <c r="M530" s="1533"/>
      <c r="N530" s="942"/>
      <c r="P530" s="12"/>
      <c r="Q530" s="1542"/>
      <c r="R530" s="1542"/>
      <c r="S530" s="1542"/>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2">
      <c r="C531" s="1536" t="str">
        <f>IF($Q$2=2," Plus: Accroissements (Jrnl des dépenses)","Plus: Increases (Expense Jrnl)")</f>
        <v>Plus: Increases (Expense Jrnl)</v>
      </c>
      <c r="D531" s="1536"/>
      <c r="E531" s="1536"/>
      <c r="F531" s="1536"/>
      <c r="G531" s="1117">
        <f>'Jrnl Exp ~ Dép'!G562</f>
        <v>0</v>
      </c>
      <c r="H531" s="1120"/>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2">
      <c r="C532" s="1536" t="str">
        <f>IF($Q$2=2,"Moins: Décroissements (Jrnl des revenus)","Less: Decreases (Revenue Jrnl)")</f>
        <v>Less: Decreases (Revenue Jrnl)</v>
      </c>
      <c r="D532" s="1536"/>
      <c r="E532" s="1536"/>
      <c r="F532" s="1536"/>
      <c r="G532" s="1117">
        <f>'Jrnl Rev'!G562</f>
        <v>0</v>
      </c>
      <c r="J532" s="188"/>
      <c r="K532" s="188"/>
      <c r="L532" s="188"/>
      <c r="M532" s="188"/>
      <c r="N532" s="1121"/>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2">
      <c r="C533" s="1538"/>
      <c r="D533" s="1538"/>
      <c r="E533" s="1538"/>
      <c r="F533" s="1538"/>
      <c r="H533" s="1120"/>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25">
      <c r="C534" s="1537" t="str">
        <f>IF($Q$2=2,F529&amp;" Fonds disponible du compte",F529&amp;" Account Available Funds")</f>
        <v>2240 Account Available Funds</v>
      </c>
      <c r="D534" s="1537"/>
      <c r="E534" s="1537"/>
      <c r="F534" s="1537"/>
      <c r="G534" s="1122"/>
      <c r="I534" s="18"/>
      <c r="J534" s="12"/>
      <c r="K534" s="12"/>
      <c r="L534" s="12"/>
      <c r="M534" s="12"/>
      <c r="N534" s="1123"/>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25">
      <c r="C535" s="1539" t="str">
        <f>IF($Q$2=2,"Solde reporté à la ligne "&amp;F529&amp;" du Bilan - page 8","This balance fwrd'd to line "&amp;F529&amp;" of Balance Sheet -  page 8")</f>
        <v>This balance fwrd'd to line 2240 of Balance Sheet -  page 8</v>
      </c>
      <c r="D535" s="1539"/>
      <c r="E535" s="1539"/>
      <c r="F535" s="1539"/>
      <c r="G535" s="1124">
        <f>IF(AND(SUM(G530+G531-G532)&lt;0.001,SUM(G530+G531-G532)&gt;-0.001),0,SUM(G530+G531-G532))</f>
        <v>0</v>
      </c>
      <c r="H535" s="605"/>
      <c r="I535" s="1"/>
      <c r="J535" s="82"/>
      <c r="K535" s="82"/>
      <c r="L535" s="82"/>
      <c r="M535" s="1125"/>
      <c r="N535" s="1124">
        <f>N530</f>
        <v>0</v>
      </c>
      <c r="O535" s="1"/>
      <c r="P535" s="12"/>
      <c r="Q535" s="12"/>
      <c r="R535" s="12"/>
      <c r="S535" s="12"/>
    </row>
    <row r="536" spans="3:62" ht="9.75" customHeight="1" thickBot="1" x14ac:dyDescent="0.25">
      <c r="C536" s="1"/>
      <c r="D536" s="1"/>
      <c r="E536" s="1"/>
      <c r="F536" s="189"/>
      <c r="G536" s="1"/>
      <c r="H536" s="1"/>
      <c r="I536" s="1"/>
      <c r="J536" s="1120"/>
      <c r="K536" s="1"/>
      <c r="L536" s="1"/>
      <c r="M536" s="1126"/>
      <c r="N536" s="1"/>
      <c r="O536" s="1"/>
      <c r="P536" s="12"/>
      <c r="Q536" s="12"/>
      <c r="R536" s="12"/>
      <c r="S536" s="12"/>
    </row>
    <row r="537" spans="3:62" s="1" customFormat="1" ht="25.5" customHeight="1" thickBot="1" x14ac:dyDescent="0.25">
      <c r="C537" s="1524"/>
      <c r="D537" s="1524"/>
      <c r="E537" s="1524"/>
      <c r="F537" s="1524"/>
      <c r="G537" s="1127">
        <f>IF(AND(G535-N535&lt;0.001,G535-N535&gt;-0.001),0,G535-N535)</f>
        <v>0</v>
      </c>
      <c r="H537" s="1534">
        <f>IF($Q$2=2,IF(G537=0,$T$8,$T$5),IF(G537=0,$T$9,$T$7))</f>
        <v>0</v>
      </c>
      <c r="I537" s="1534"/>
      <c r="J537" s="1534"/>
      <c r="K537" s="1534"/>
      <c r="L537" s="1534"/>
      <c r="M537" s="1534"/>
      <c r="N537" s="1535"/>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2">
      <c r="C538" s="1523"/>
      <c r="D538" s="1523"/>
      <c r="E538" s="1523"/>
      <c r="F538" s="1523"/>
      <c r="G538" s="1523"/>
      <c r="H538" s="1523"/>
      <c r="I538" s="1523"/>
      <c r="J538" s="1523"/>
      <c r="K538" s="1523"/>
      <c r="L538" s="1523"/>
      <c r="M538" s="1523"/>
      <c r="N538" s="1523"/>
      <c r="O538" s="1111"/>
      <c r="P538" s="1106"/>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2">
      <c r="C539" s="1525"/>
      <c r="D539" s="1525"/>
      <c r="E539" s="1525"/>
      <c r="F539" s="1525"/>
      <c r="G539" s="1525"/>
      <c r="H539" s="1525"/>
      <c r="I539" s="1525"/>
      <c r="J539" s="1525"/>
      <c r="K539" s="1525"/>
      <c r="L539" s="1525"/>
      <c r="M539" s="1525"/>
      <c r="N539" s="1525"/>
      <c r="O539" s="1111"/>
      <c r="P539" s="1106"/>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2">
      <c r="D540" s="1526" t="str">
        <f>IF($Q$2=2,"Réconciliation détaillée du compte "&amp;F542&amp;" - "&amp;C542,"Detailed Reconciliation of the Account "&amp;F542&amp;" - "&amp;C542)</f>
        <v>Detailed Reconciliation of the Account 2250 - Disponible ~ Available</v>
      </c>
      <c r="E540" s="1526"/>
      <c r="F540" s="1526"/>
      <c r="G540" s="1526"/>
      <c r="H540" s="1526"/>
      <c r="I540" s="1526"/>
      <c r="J540" s="1526"/>
      <c r="K540" s="1526"/>
      <c r="L540" s="1526"/>
      <c r="M540" s="1526"/>
      <c r="N540" s="1113"/>
      <c r="P540" s="12"/>
      <c r="R540" s="12"/>
      <c r="S540" s="12"/>
      <c r="T540" s="12"/>
      <c r="U540" s="1119"/>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2">
      <c r="C541" s="1527" t="str">
        <f>IF($Q$2=2,"Réconciliation selon les livres comptables","Reconciliation as per BookKeeping")</f>
        <v>Reconciliation as per BookKeeping</v>
      </c>
      <c r="D541" s="1527"/>
      <c r="E541" s="1527"/>
      <c r="F541" s="1527"/>
      <c r="G541" s="1527"/>
      <c r="I541" s="1527" t="str">
        <f>IF($Q$2=2,"Réconciliation selon l'état de compte","Reconciliation as per Account Statement")</f>
        <v>Reconciliation as per Account Statement</v>
      </c>
      <c r="J541" s="1527"/>
      <c r="K541" s="1527"/>
      <c r="L541" s="1527"/>
      <c r="M541" s="1527"/>
      <c r="N541" s="1114"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25">
      <c r="C542" s="1528" t="str">
        <f>'Set up ~ Config'!G90</f>
        <v>Disponible ~ Available</v>
      </c>
      <c r="D542" s="1528"/>
      <c r="E542" s="1528"/>
      <c r="F542" s="1115" t="str">
        <f>LEFT('Set up ~ Config'!F90,4)</f>
        <v>2250</v>
      </c>
      <c r="G542" s="82"/>
      <c r="I542" s="1529"/>
      <c r="J542" s="1529"/>
      <c r="K542" s="1529"/>
      <c r="L542" s="1529"/>
      <c r="M542" s="1529"/>
      <c r="N542" s="1529"/>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25">
      <c r="C543" s="1530" t="str">
        <f>IF($Q$2=2,"Solde du compte au ","Account Balance on ")</f>
        <v xml:space="preserve">Account Balance on </v>
      </c>
      <c r="D543" s="1530"/>
      <c r="E543" s="1530"/>
      <c r="F543" s="1116">
        <f>DATEVALUE('Set up ~ Config'!$L$5)</f>
        <v>45535</v>
      </c>
      <c r="G543" s="1117">
        <f>'Set up ~ Config'!D90</f>
        <v>0</v>
      </c>
      <c r="I543" s="1118" t="str">
        <f>IF($Q$2=2,"Date (aaaa-mm-jj):","Date (yyyy-mm-dd):")</f>
        <v>Date (yyyy-mm-dd):</v>
      </c>
      <c r="J543" s="957"/>
      <c r="K543" s="1531" t="str">
        <f>IF($Q$2=2,"Solde :","Balance :")</f>
        <v>Balance :</v>
      </c>
      <c r="L543" s="1532"/>
      <c r="M543" s="1533"/>
      <c r="N543" s="942"/>
      <c r="P543" s="12"/>
      <c r="Q543" s="1542"/>
      <c r="R543" s="1542"/>
      <c r="S543" s="1542"/>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2">
      <c r="C544" s="1536" t="str">
        <f>IF($Q$2=2," Plus: Accroissements (Jrnl des dépenses)","Plus: Increases (Expense Jrnl)")</f>
        <v>Plus: Increases (Expense Jrnl)</v>
      </c>
      <c r="D544" s="1536"/>
      <c r="E544" s="1536"/>
      <c r="F544" s="1536"/>
      <c r="G544" s="1117">
        <f>'Jrnl Exp ~ Dép'!G563</f>
        <v>0</v>
      </c>
      <c r="H544" s="1120"/>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2">
      <c r="C545" s="1536" t="str">
        <f>IF($Q$2=2,"Moins: Décroissements (Jrnl des revenus)","Less: Decreases (Revenue Jrnl)")</f>
        <v>Less: Decreases (Revenue Jrnl)</v>
      </c>
      <c r="D545" s="1536"/>
      <c r="E545" s="1536"/>
      <c r="F545" s="1536"/>
      <c r="G545" s="1117">
        <f>'Jrnl Rev'!G563</f>
        <v>0</v>
      </c>
      <c r="J545" s="188"/>
      <c r="K545" s="188"/>
      <c r="L545" s="188"/>
      <c r="M545" s="188"/>
      <c r="N545" s="1121"/>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2">
      <c r="C546" s="1538"/>
      <c r="D546" s="1538"/>
      <c r="E546" s="1538"/>
      <c r="F546" s="1538"/>
      <c r="H546" s="1120"/>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25">
      <c r="C547" s="1537" t="str">
        <f>IF($Q$2=2,F542&amp;" Fonds disponible du compte",F542&amp;" Account Available Funds")</f>
        <v>2250 Account Available Funds</v>
      </c>
      <c r="D547" s="1537"/>
      <c r="E547" s="1537"/>
      <c r="F547" s="1537"/>
      <c r="G547" s="1122"/>
      <c r="I547" s="18"/>
      <c r="J547" s="12"/>
      <c r="K547" s="12"/>
      <c r="L547" s="12"/>
      <c r="M547" s="12"/>
      <c r="N547" s="1123"/>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25">
      <c r="C548" s="1539" t="str">
        <f>IF($Q$2=2,"Solde reporté à la ligne "&amp;F542&amp;" du Bilan - page 8","This balance fwrd'd to line "&amp;F542&amp;" of Balance Sheet -  page 8")</f>
        <v>This balance fwrd'd to line 2250 of Balance Sheet -  page 8</v>
      </c>
      <c r="D548" s="1539"/>
      <c r="E548" s="1539"/>
      <c r="F548" s="1539"/>
      <c r="G548" s="1124">
        <f>IF(AND(SUM(G543+G544-G545)&lt;0.001,SUM(G543+G544-G545)&gt;-0.001),0,SUM(G543+G544-G545))</f>
        <v>0</v>
      </c>
      <c r="H548" s="605"/>
      <c r="J548" s="82"/>
      <c r="K548" s="82"/>
      <c r="L548" s="82"/>
      <c r="M548" s="1125"/>
      <c r="N548" s="1124">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25">
      <c r="C549" s="1"/>
      <c r="D549" s="1"/>
      <c r="E549" s="1"/>
      <c r="F549" s="189"/>
      <c r="G549" s="1"/>
      <c r="H549" s="1"/>
      <c r="I549" s="1"/>
      <c r="J549" s="1120"/>
      <c r="K549" s="1"/>
      <c r="L549" s="1"/>
      <c r="M549" s="1126"/>
      <c r="N549" s="1"/>
      <c r="O549" s="1"/>
      <c r="P549" s="12"/>
      <c r="Q549" s="12"/>
      <c r="R549" s="12"/>
      <c r="S549" s="12"/>
    </row>
    <row r="550" spans="3:62" ht="25.5" customHeight="1" thickBot="1" x14ac:dyDescent="0.25">
      <c r="C550" s="1524"/>
      <c r="D550" s="1524"/>
      <c r="E550" s="1524"/>
      <c r="F550" s="1524"/>
      <c r="G550" s="1127">
        <f>IF(AND(G548-N548&lt;0.001,G548-N548&gt;-0.001),0,G548-N548)</f>
        <v>0</v>
      </c>
      <c r="H550" s="1534">
        <f>IF($Q$2=2,IF(G550=0,$T$8,$T$5),IF(G550=0,$T$9,$T$7))</f>
        <v>0</v>
      </c>
      <c r="I550" s="1534"/>
      <c r="J550" s="1534"/>
      <c r="K550" s="1534"/>
      <c r="L550" s="1534"/>
      <c r="M550" s="1534"/>
      <c r="N550" s="1535"/>
      <c r="O550" s="1"/>
      <c r="P550" s="12"/>
      <c r="Q550" s="12"/>
      <c r="R550" s="12"/>
      <c r="S550" s="12"/>
    </row>
    <row r="551" spans="3:62" s="1" customFormat="1" ht="15" customHeight="1" x14ac:dyDescent="0.2">
      <c r="C551" s="1523"/>
      <c r="D551" s="1523"/>
      <c r="E551" s="1523"/>
      <c r="F551" s="1523"/>
      <c r="G551" s="1523"/>
      <c r="H551" s="1523"/>
      <c r="I551" s="1523"/>
      <c r="J551" s="1523"/>
      <c r="K551" s="1523"/>
      <c r="L551" s="1523"/>
      <c r="M551" s="1523"/>
      <c r="N551" s="1523"/>
      <c r="O551" s="1111"/>
      <c r="P551" s="1106"/>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2">
      <c r="C552" s="1525"/>
      <c r="D552" s="1525"/>
      <c r="E552" s="1525"/>
      <c r="F552" s="1525"/>
      <c r="G552" s="1525"/>
      <c r="H552" s="1525"/>
      <c r="I552" s="1525"/>
      <c r="J552" s="1525"/>
      <c r="K552" s="1525"/>
      <c r="L552" s="1525"/>
      <c r="M552" s="1525"/>
      <c r="N552" s="1525"/>
      <c r="O552" s="1111"/>
      <c r="P552" s="1106"/>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2">
      <c r="D553" s="1526" t="str">
        <f>IF($Q$2=2,"Réconciliation détaillée du compte "&amp;F555&amp;" - "&amp;C555,"Detailed Reconciliation of the Account "&amp;F555&amp;" - "&amp;C555)</f>
        <v>Detailed Reconciliation of the Account 2260 - Disponible ~ Available</v>
      </c>
      <c r="E553" s="1526"/>
      <c r="F553" s="1526"/>
      <c r="G553" s="1526"/>
      <c r="H553" s="1526"/>
      <c r="I553" s="1526"/>
      <c r="J553" s="1526"/>
      <c r="K553" s="1526"/>
      <c r="L553" s="1526"/>
      <c r="M553" s="1526"/>
      <c r="N553" s="1113"/>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2">
      <c r="C554" s="1527" t="str">
        <f>IF($Q$2=2,"Réconciliation selon les livres comptables","Reconciliation as per BookKeeping")</f>
        <v>Reconciliation as per BookKeeping</v>
      </c>
      <c r="D554" s="1527"/>
      <c r="E554" s="1527"/>
      <c r="F554" s="1527"/>
      <c r="G554" s="1527"/>
      <c r="I554" s="1527" t="str">
        <f>IF($Q$2=2,"Réconciliation selon l'état de compte","Reconciliation as per Account Statement")</f>
        <v>Reconciliation as per Account Statement</v>
      </c>
      <c r="J554" s="1527"/>
      <c r="K554" s="1527"/>
      <c r="L554" s="1527"/>
      <c r="M554" s="1527"/>
      <c r="N554" s="1114" t="str">
        <f>F555</f>
        <v>2260</v>
      </c>
      <c r="P554" s="188"/>
      <c r="R554" s="188"/>
      <c r="S554" s="188"/>
      <c r="T554" s="12"/>
      <c r="U554" s="1119"/>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25">
      <c r="C555" s="1528" t="str">
        <f>'Set up ~ Config'!G91</f>
        <v>Disponible ~ Available</v>
      </c>
      <c r="D555" s="1528"/>
      <c r="E555" s="1528"/>
      <c r="F555" s="1115" t="str">
        <f>LEFT('Set up ~ Config'!F91,4)</f>
        <v>2260</v>
      </c>
      <c r="G555" s="82"/>
      <c r="I555" s="1529"/>
      <c r="J555" s="1529"/>
      <c r="K555" s="1529"/>
      <c r="L555" s="1529"/>
      <c r="M555" s="1529"/>
      <c r="N555" s="1529"/>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25">
      <c r="C556" s="1530" t="str">
        <f>IF($Q$2=2,"Solde du compte au ","Account Balance on ")</f>
        <v xml:space="preserve">Account Balance on </v>
      </c>
      <c r="D556" s="1530"/>
      <c r="E556" s="1530"/>
      <c r="F556" s="1116">
        <f>DATEVALUE('Set up ~ Config'!$L$5)</f>
        <v>45535</v>
      </c>
      <c r="G556" s="1117">
        <f>'Set up ~ Config'!D91</f>
        <v>0</v>
      </c>
      <c r="I556" s="1118" t="str">
        <f>IF($Q$2=2,"Date (aaaa-mm-jj):","Date (yyyy-mm-dd):")</f>
        <v>Date (yyyy-mm-dd):</v>
      </c>
      <c r="J556" s="957"/>
      <c r="K556" s="1531" t="str">
        <f>IF($Q$2=2,"Solde :","Balance :")</f>
        <v>Balance :</v>
      </c>
      <c r="L556" s="1532"/>
      <c r="M556" s="1533"/>
      <c r="N556" s="942"/>
      <c r="P556" s="12"/>
      <c r="Q556" s="1542"/>
      <c r="R556" s="1542"/>
      <c r="S556" s="1542"/>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2">
      <c r="C557" s="1536" t="str">
        <f>IF($Q$2=2," Plus: Accroissements (Jrnl des dépenses)","Plus: Increases (Expense Jrnl)")</f>
        <v>Plus: Increases (Expense Jrnl)</v>
      </c>
      <c r="D557" s="1536"/>
      <c r="E557" s="1536"/>
      <c r="F557" s="1536"/>
      <c r="G557" s="1117">
        <f>'Jrnl Exp ~ Dép'!G564</f>
        <v>0</v>
      </c>
      <c r="H557" s="1120"/>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2">
      <c r="C558" s="1536" t="str">
        <f>IF($Q$2=2,"Moins: Décroissements (Jrnl des revenus)","Less: Decreases (Revenue Jrnl)")</f>
        <v>Less: Decreases (Revenue Jrnl)</v>
      </c>
      <c r="D558" s="1536"/>
      <c r="E558" s="1536"/>
      <c r="F558" s="1536"/>
      <c r="G558" s="1117">
        <f>'Jrnl Rev'!G564</f>
        <v>0</v>
      </c>
      <c r="J558" s="188"/>
      <c r="K558" s="188"/>
      <c r="L558" s="188"/>
      <c r="M558" s="188"/>
      <c r="N558" s="1121"/>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2">
      <c r="C559" s="1538"/>
      <c r="D559" s="1538"/>
      <c r="E559" s="1538"/>
      <c r="F559" s="1538"/>
      <c r="H559" s="1120"/>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25">
      <c r="C560" s="1537" t="str">
        <f>IF($Q$2=2,F555&amp;" Fonds disponible du compte",F555&amp;" Account Available Funds")</f>
        <v>2260 Account Available Funds</v>
      </c>
      <c r="D560" s="1537"/>
      <c r="E560" s="1537"/>
      <c r="F560" s="1537"/>
      <c r="G560" s="1122"/>
      <c r="I560" s="18"/>
      <c r="J560" s="12"/>
      <c r="K560" s="12"/>
      <c r="L560" s="12"/>
      <c r="M560" s="12"/>
      <c r="N560" s="1123"/>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25">
      <c r="C561" s="1539" t="str">
        <f>IF($Q$2=2,"Solde reporté à la ligne "&amp;F555&amp;" du Bilan - page 8","This balance fwrd'd to line "&amp;F555&amp;" of Balance Sheet -  page 8")</f>
        <v>This balance fwrd'd to line 2260 of Balance Sheet -  page 8</v>
      </c>
      <c r="D561" s="1539"/>
      <c r="E561" s="1539"/>
      <c r="F561" s="1539"/>
      <c r="G561" s="1124">
        <f>IF(AND(SUM(G556+G557-G558)&lt;0.001,SUM(G556+G557-G558)&gt;-0.001),0,SUM(G556+G557-G558))</f>
        <v>0</v>
      </c>
      <c r="H561" s="605"/>
      <c r="J561" s="82"/>
      <c r="K561" s="82"/>
      <c r="L561" s="82"/>
      <c r="M561" s="1125"/>
      <c r="N561" s="1124">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25">
      <c r="F562" s="189"/>
      <c r="J562" s="1120"/>
      <c r="M562" s="1126"/>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25">
      <c r="C563" s="1524"/>
      <c r="D563" s="1524"/>
      <c r="E563" s="1524"/>
      <c r="F563" s="1524"/>
      <c r="G563" s="1127">
        <f>IF(AND(G561-N561&lt;0.001,G561-N561&gt;-0.001),0,G561-N561)</f>
        <v>0</v>
      </c>
      <c r="H563" s="1534">
        <f>IF($Q$2=2,IF(G563=0,$T$8,$T$5),IF(G563=0,$T$9,$T$7))</f>
        <v>0</v>
      </c>
      <c r="I563" s="1534"/>
      <c r="J563" s="1534"/>
      <c r="K563" s="1534"/>
      <c r="L563" s="1534"/>
      <c r="M563" s="1534"/>
      <c r="N563" s="1535"/>
      <c r="O563" s="1"/>
      <c r="P563" s="12"/>
      <c r="Q563" s="12"/>
      <c r="R563" s="12"/>
      <c r="S563" s="12"/>
    </row>
    <row r="564" spans="3:62" ht="15" customHeight="1" x14ac:dyDescent="0.2">
      <c r="C564" s="1523"/>
      <c r="D564" s="1523"/>
      <c r="E564" s="1523"/>
      <c r="F564" s="1523"/>
      <c r="G564" s="1523"/>
      <c r="H564" s="1523"/>
      <c r="I564" s="1523"/>
      <c r="J564" s="1523"/>
      <c r="K564" s="1523"/>
      <c r="L564" s="1523"/>
      <c r="M564" s="1523"/>
      <c r="N564" s="1523"/>
      <c r="O564" s="1111"/>
      <c r="P564" s="1106"/>
      <c r="Q564" s="1"/>
      <c r="R564" s="12"/>
      <c r="S564" s="12"/>
    </row>
    <row r="565" spans="3:62" s="1" customFormat="1" ht="19.5" customHeight="1" x14ac:dyDescent="0.2">
      <c r="C565" s="1525"/>
      <c r="D565" s="1525"/>
      <c r="E565" s="1525"/>
      <c r="F565" s="1525"/>
      <c r="G565" s="1525"/>
      <c r="H565" s="1525"/>
      <c r="I565" s="1525"/>
      <c r="J565" s="1525"/>
      <c r="K565" s="1525"/>
      <c r="L565" s="1525"/>
      <c r="M565" s="1525"/>
      <c r="N565" s="1525"/>
      <c r="O565" s="1111"/>
      <c r="P565" s="1106"/>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2">
      <c r="D566" s="1526" t="str">
        <f>IF($Q$2=2,"Réconciliation détaillée du compte "&amp;F568&amp;" - "&amp;C568,"Detailed Reconciliation of the Account "&amp;F568&amp;" - "&amp;C568)</f>
        <v>Detailed Reconciliation of the Account 2270 - Disponible ~ Available</v>
      </c>
      <c r="E566" s="1526"/>
      <c r="F566" s="1526"/>
      <c r="G566" s="1526"/>
      <c r="H566" s="1526"/>
      <c r="I566" s="1526"/>
      <c r="J566" s="1526"/>
      <c r="K566" s="1526"/>
      <c r="L566" s="1526"/>
      <c r="M566" s="1526"/>
      <c r="N566" s="1113"/>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2">
      <c r="C567" s="1527" t="str">
        <f>IF($Q$2=2,"Réconciliation selon les livres comptables","Reconciliation as per BookKeeping")</f>
        <v>Reconciliation as per BookKeeping</v>
      </c>
      <c r="D567" s="1527"/>
      <c r="E567" s="1527"/>
      <c r="F567" s="1527"/>
      <c r="G567" s="1527"/>
      <c r="I567" s="1527" t="str">
        <f>IF($Q$2=2,"Réconciliation selon l'état de compte","Reconciliation as per Account Statement")</f>
        <v>Reconciliation as per Account Statement</v>
      </c>
      <c r="J567" s="1527"/>
      <c r="K567" s="1527"/>
      <c r="L567" s="1527"/>
      <c r="M567" s="1527"/>
      <c r="N567" s="1114"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25">
      <c r="C568" s="1528" t="str">
        <f>'Set up ~ Config'!G92</f>
        <v>Disponible ~ Available</v>
      </c>
      <c r="D568" s="1528"/>
      <c r="E568" s="1528"/>
      <c r="F568" s="1115" t="str">
        <f>LEFT('Set up ~ Config'!F92,4)</f>
        <v>2270</v>
      </c>
      <c r="G568" s="82"/>
      <c r="I568" s="1529"/>
      <c r="J568" s="1529"/>
      <c r="K568" s="1529"/>
      <c r="L568" s="1529"/>
      <c r="M568" s="1529"/>
      <c r="N568" s="1529"/>
      <c r="P568" s="12"/>
      <c r="R568" s="12"/>
      <c r="S568" s="12"/>
      <c r="T568" s="12"/>
      <c r="U568" s="1119"/>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25">
      <c r="C569" s="1530" t="str">
        <f>IF($Q$2=2,"Solde du compte au ","Account Balance on ")</f>
        <v xml:space="preserve">Account Balance on </v>
      </c>
      <c r="D569" s="1530"/>
      <c r="E569" s="1530"/>
      <c r="F569" s="1116">
        <f>DATEVALUE('Set up ~ Config'!$L$5)</f>
        <v>45535</v>
      </c>
      <c r="G569" s="1117">
        <f>'Set up ~ Config'!D92</f>
        <v>0</v>
      </c>
      <c r="I569" s="1118" t="str">
        <f>IF($Q$2=2,"Date (aaaa-mm-jj):","Date (yyyy-mm-dd):")</f>
        <v>Date (yyyy-mm-dd):</v>
      </c>
      <c r="J569" s="957"/>
      <c r="K569" s="1531" t="str">
        <f>IF($Q$2=2,"Solde :","Balance :")</f>
        <v>Balance :</v>
      </c>
      <c r="L569" s="1532"/>
      <c r="M569" s="1533"/>
      <c r="N569" s="942"/>
      <c r="P569" s="12"/>
      <c r="Q569" s="1542"/>
      <c r="R569" s="1542"/>
      <c r="S569" s="1542"/>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2">
      <c r="C570" s="1536" t="str">
        <f>IF($Q$2=2," Plus: Accroissements (Jrnl des dépenses)","Plus: Increases (Expense Jrnl)")</f>
        <v>Plus: Increases (Expense Jrnl)</v>
      </c>
      <c r="D570" s="1536"/>
      <c r="E570" s="1536"/>
      <c r="F570" s="1536"/>
      <c r="G570" s="1117">
        <f>'Jrnl Exp ~ Dép'!G565</f>
        <v>0</v>
      </c>
      <c r="H570" s="1120"/>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2">
      <c r="C571" s="1536" t="str">
        <f>IF($Q$2=2,"Moins: Décroissements (Jrnl des revenus)","Less: Decreases (Revenue Jrnl)")</f>
        <v>Less: Decreases (Revenue Jrnl)</v>
      </c>
      <c r="D571" s="1536"/>
      <c r="E571" s="1536"/>
      <c r="F571" s="1536"/>
      <c r="G571" s="1117">
        <f>'Jrnl Rev'!G565</f>
        <v>0</v>
      </c>
      <c r="J571" s="188"/>
      <c r="K571" s="188"/>
      <c r="L571" s="188"/>
      <c r="M571" s="188"/>
      <c r="N571" s="1121"/>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2">
      <c r="C572" s="1538"/>
      <c r="D572" s="1538"/>
      <c r="E572" s="1538"/>
      <c r="F572" s="1538"/>
      <c r="H572" s="1120"/>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25">
      <c r="C573" s="1537" t="str">
        <f>IF($Q$2=2,F568&amp;" Fonds disponible du compte",F568&amp;" Account Available Funds")</f>
        <v>2270 Account Available Funds</v>
      </c>
      <c r="D573" s="1537"/>
      <c r="E573" s="1537"/>
      <c r="F573" s="1537"/>
      <c r="G573" s="1122"/>
      <c r="I573" s="18"/>
      <c r="J573" s="12"/>
      <c r="K573" s="12"/>
      <c r="L573" s="12"/>
      <c r="M573" s="12"/>
      <c r="N573" s="1123"/>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25">
      <c r="C574" s="1539" t="str">
        <f>IF($Q$2=2,"Solde reporté à la ligne "&amp;F568&amp;" du Bilan - page 8","This balance fwrd'd to line "&amp;F568&amp;" of Balance Sheet -  page 8")</f>
        <v>This balance fwrd'd to line 2270 of Balance Sheet -  page 8</v>
      </c>
      <c r="D574" s="1539"/>
      <c r="E574" s="1539"/>
      <c r="F574" s="1539"/>
      <c r="G574" s="1124">
        <f>IF(AND(SUM(G569+G570-G571)&lt;0.001,SUM(G569+G570-G571)&gt;-0.001),0,SUM(G569+G570-G571))</f>
        <v>0</v>
      </c>
      <c r="H574" s="605"/>
      <c r="J574" s="82"/>
      <c r="K574" s="82"/>
      <c r="L574" s="82"/>
      <c r="M574" s="1125"/>
      <c r="N574" s="1124">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25">
      <c r="F575" s="189"/>
      <c r="J575" s="1120"/>
      <c r="M575" s="1126"/>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25">
      <c r="C576" s="1524"/>
      <c r="D576" s="1524"/>
      <c r="E576" s="1524"/>
      <c r="F576" s="1524"/>
      <c r="G576" s="1127">
        <f>IF(AND(G574-N574&lt;0.001,G574-N574&gt;-0.001),0,G574-N574)</f>
        <v>0</v>
      </c>
      <c r="H576" s="1534">
        <f>IF($Q$2=2,IF(G576=0,$T$8,$T$5),IF(G576=0,$T$9,$T$7))</f>
        <v>0</v>
      </c>
      <c r="I576" s="1534"/>
      <c r="J576" s="1534"/>
      <c r="K576" s="1534"/>
      <c r="L576" s="1534"/>
      <c r="M576" s="1534"/>
      <c r="N576" s="1535"/>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2">
      <c r="C577" s="1523"/>
      <c r="D577" s="1523"/>
      <c r="E577" s="1523"/>
      <c r="F577" s="1523"/>
      <c r="G577" s="1523"/>
      <c r="H577" s="1523"/>
      <c r="I577" s="1523"/>
      <c r="J577" s="1523"/>
      <c r="K577" s="1523"/>
      <c r="L577" s="1523"/>
      <c r="M577" s="1523"/>
      <c r="N577" s="1523"/>
      <c r="O577" s="1111"/>
      <c r="P577" s="1106"/>
      <c r="Q577" s="1"/>
      <c r="R577" s="12"/>
      <c r="S577" s="12"/>
    </row>
    <row r="578" spans="3:62" ht="19.5" customHeight="1" x14ac:dyDescent="0.2">
      <c r="C578" s="1525"/>
      <c r="D578" s="1525"/>
      <c r="E578" s="1525"/>
      <c r="F578" s="1525"/>
      <c r="G578" s="1525"/>
      <c r="H578" s="1525"/>
      <c r="I578" s="1525"/>
      <c r="J578" s="1525"/>
      <c r="K578" s="1525"/>
      <c r="L578" s="1525"/>
      <c r="M578" s="1525"/>
      <c r="N578" s="1525"/>
      <c r="O578" s="1111"/>
      <c r="P578" s="1106"/>
      <c r="Q578" s="1"/>
      <c r="R578" s="12"/>
      <c r="S578" s="12"/>
    </row>
    <row r="579" spans="3:62" s="1" customFormat="1" ht="40.5" customHeight="1" x14ac:dyDescent="0.2">
      <c r="D579" s="1526" t="str">
        <f>IF($Q$2=2,"Réconciliation détaillée du compte "&amp;F581&amp;" - "&amp;C581,"Detailed Reconciliation of the Account "&amp;F581&amp;" - "&amp;C581)</f>
        <v>Detailed Reconciliation of the Account 2280 - Disponible ~ Available</v>
      </c>
      <c r="E579" s="1526"/>
      <c r="F579" s="1526"/>
      <c r="G579" s="1526"/>
      <c r="H579" s="1526"/>
      <c r="I579" s="1526"/>
      <c r="J579" s="1526"/>
      <c r="K579" s="1526"/>
      <c r="L579" s="1526"/>
      <c r="M579" s="1526"/>
      <c r="N579" s="1113"/>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2">
      <c r="C580" s="1527" t="str">
        <f>IF($Q$2=2,"Réconciliation selon les livres comptables","Reconciliation as per BookKeeping")</f>
        <v>Reconciliation as per BookKeeping</v>
      </c>
      <c r="D580" s="1527"/>
      <c r="E580" s="1527"/>
      <c r="F580" s="1527"/>
      <c r="G580" s="1527"/>
      <c r="I580" s="1527" t="str">
        <f>IF($Q$2=2,"Réconciliation selon l'état de compte","Reconciliation as per Account Statement")</f>
        <v>Reconciliation as per Account Statement</v>
      </c>
      <c r="J580" s="1527"/>
      <c r="K580" s="1527"/>
      <c r="L580" s="1527"/>
      <c r="M580" s="1527"/>
      <c r="N580" s="1114"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25">
      <c r="C581" s="1528" t="str">
        <f>'Set up ~ Config'!G93</f>
        <v>Disponible ~ Available</v>
      </c>
      <c r="D581" s="1528"/>
      <c r="E581" s="1528"/>
      <c r="F581" s="1115" t="str">
        <f>LEFT('Set up ~ Config'!F93,4)</f>
        <v>2280</v>
      </c>
      <c r="G581" s="82"/>
      <c r="I581" s="1529"/>
      <c r="J581" s="1529"/>
      <c r="K581" s="1529"/>
      <c r="L581" s="1529"/>
      <c r="M581" s="1529"/>
      <c r="N581" s="1529"/>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25">
      <c r="C582" s="1530" t="str">
        <f>IF($Q$2=2,"Solde du compte au ","Account Balance on ")</f>
        <v xml:space="preserve">Account Balance on </v>
      </c>
      <c r="D582" s="1530"/>
      <c r="E582" s="1530"/>
      <c r="F582" s="1116">
        <f>DATEVALUE('Set up ~ Config'!$L$5)</f>
        <v>45535</v>
      </c>
      <c r="G582" s="1117">
        <f>'Set up ~ Config'!D93</f>
        <v>0</v>
      </c>
      <c r="I582" s="1118" t="str">
        <f>IF($Q$2=2,"Date (aaaa-mm-jj):","Date (yyyy-mm-dd):")</f>
        <v>Date (yyyy-mm-dd):</v>
      </c>
      <c r="J582" s="957"/>
      <c r="K582" s="1531" t="str">
        <f>IF($Q$2=2,"Solde :","Balance :")</f>
        <v>Balance :</v>
      </c>
      <c r="L582" s="1532"/>
      <c r="M582" s="1533"/>
      <c r="N582" s="942"/>
      <c r="P582" s="12"/>
      <c r="Q582" s="1542"/>
      <c r="R582" s="1542"/>
      <c r="S582" s="1542"/>
      <c r="T582" s="12"/>
      <c r="U582" s="1119"/>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2">
      <c r="C583" s="1536" t="str">
        <f>IF($Q$2=2," Plus: Accroissements (Jrnl des dépenses)","Plus: Increases (Expense Jrnl)")</f>
        <v>Plus: Increases (Expense Jrnl)</v>
      </c>
      <c r="D583" s="1536"/>
      <c r="E583" s="1536"/>
      <c r="F583" s="1536"/>
      <c r="G583" s="1117">
        <f>'Jrnl Exp ~ Dép'!G566</f>
        <v>0</v>
      </c>
      <c r="H583" s="1120"/>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2">
      <c r="C584" s="1536" t="str">
        <f>IF($Q$2=2,"Moins: Décroissements (Jrnl des revenus)","Less: Decreases (Revenue Jrnl)")</f>
        <v>Less: Decreases (Revenue Jrnl)</v>
      </c>
      <c r="D584" s="1536"/>
      <c r="E584" s="1536"/>
      <c r="F584" s="1536"/>
      <c r="G584" s="1117">
        <f>'Jrnl Rev'!G566</f>
        <v>0</v>
      </c>
      <c r="J584" s="188"/>
      <c r="K584" s="188"/>
      <c r="L584" s="188"/>
      <c r="M584" s="188"/>
      <c r="N584" s="1121"/>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2">
      <c r="C585" s="1538"/>
      <c r="D585" s="1538"/>
      <c r="E585" s="1538"/>
      <c r="F585" s="1538"/>
      <c r="H585" s="1120"/>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25">
      <c r="C586" s="1537" t="str">
        <f>IF($Q$2=2,F581&amp;" Fonds disponible du compte",F581&amp;" Account Available Funds")</f>
        <v>2280 Account Available Funds</v>
      </c>
      <c r="D586" s="1537"/>
      <c r="E586" s="1537"/>
      <c r="F586" s="1537"/>
      <c r="G586" s="1122"/>
      <c r="I586" s="18"/>
      <c r="J586" s="12"/>
      <c r="K586" s="12"/>
      <c r="L586" s="12"/>
      <c r="M586" s="12"/>
      <c r="N586" s="1123"/>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25">
      <c r="C587" s="1539" t="str">
        <f>IF($Q$2=2,"Solde reporté à la ligne "&amp;F581&amp;" du Bilan - page 8","This balance fwrd'd to line "&amp;F581&amp;" of Balance Sheet -  page 8")</f>
        <v>This balance fwrd'd to line 2280 of Balance Sheet -  page 8</v>
      </c>
      <c r="D587" s="1539"/>
      <c r="E587" s="1539"/>
      <c r="F587" s="1539"/>
      <c r="G587" s="1124">
        <f>IF(AND(SUM(G582+G583-G584)&lt;0.001,SUM(G582+G583-G584)&gt;-0.001),0,SUM(G582+G583-G584))</f>
        <v>0</v>
      </c>
      <c r="H587" s="605"/>
      <c r="J587" s="82"/>
      <c r="K587" s="82"/>
      <c r="L587" s="82"/>
      <c r="M587" s="1125"/>
      <c r="N587" s="1124">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25">
      <c r="F588" s="189"/>
      <c r="J588" s="1120"/>
      <c r="M588" s="1126"/>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25">
      <c r="C589" s="1524"/>
      <c r="D589" s="1524"/>
      <c r="E589" s="1524"/>
      <c r="F589" s="1524"/>
      <c r="G589" s="1127">
        <f>IF(AND(G587-N587&lt;0.001,G587-N587&gt;-0.001),0,G587-N587)</f>
        <v>0</v>
      </c>
      <c r="H589" s="1534">
        <f>IF($Q$2=2,IF(G589=0,$T$8,$T$5),IF(G589=0,$T$9,$T$7))</f>
        <v>0</v>
      </c>
      <c r="I589" s="1534"/>
      <c r="J589" s="1534"/>
      <c r="K589" s="1534"/>
      <c r="L589" s="1534"/>
      <c r="M589" s="1534"/>
      <c r="N589" s="1535"/>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2">
      <c r="C590" s="1523"/>
      <c r="D590" s="1523"/>
      <c r="E590" s="1523"/>
      <c r="F590" s="1523"/>
      <c r="G590" s="1523"/>
      <c r="H590" s="1523"/>
      <c r="I590" s="1523"/>
      <c r="J590" s="1523"/>
      <c r="K590" s="1523"/>
      <c r="L590" s="1523"/>
      <c r="M590" s="1523"/>
      <c r="N590" s="1523"/>
      <c r="O590" s="1111"/>
      <c r="P590" s="1106"/>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2">
      <c r="C591" s="1525"/>
      <c r="D591" s="1525"/>
      <c r="E591" s="1525"/>
      <c r="F591" s="1525"/>
      <c r="G591" s="1525"/>
      <c r="H591" s="1525"/>
      <c r="I591" s="1525"/>
      <c r="J591" s="1525"/>
      <c r="K591" s="1525"/>
      <c r="L591" s="1525"/>
      <c r="M591" s="1525"/>
      <c r="N591" s="1525"/>
      <c r="O591" s="1111"/>
      <c r="P591" s="1106"/>
      <c r="Q591" s="1"/>
      <c r="R591" s="12"/>
      <c r="S591" s="12"/>
    </row>
    <row r="592" spans="3:62" ht="40.5" customHeight="1" x14ac:dyDescent="0.2">
      <c r="C592" s="1"/>
      <c r="D592" s="1526" t="str">
        <f>IF($Q$2=2,"Réconciliation détaillée du compte "&amp;F594&amp;" - "&amp;C594,"Detailed Reconciliation of the Account "&amp;F594&amp;" - "&amp;C594)</f>
        <v>Detailed Reconciliation of the Account 2290 - Disponible ~ Available</v>
      </c>
      <c r="E592" s="1526"/>
      <c r="F592" s="1526"/>
      <c r="G592" s="1526"/>
      <c r="H592" s="1526"/>
      <c r="I592" s="1526"/>
      <c r="J592" s="1526"/>
      <c r="K592" s="1526"/>
      <c r="L592" s="1526"/>
      <c r="M592" s="1526"/>
      <c r="N592" s="1113"/>
      <c r="O592" s="1"/>
      <c r="P592" s="12"/>
      <c r="Q592" s="1"/>
      <c r="R592" s="12"/>
      <c r="S592" s="12"/>
    </row>
    <row r="593" spans="3:62" s="1" customFormat="1" ht="29.25" customHeight="1" x14ac:dyDescent="0.2">
      <c r="C593" s="1527" t="str">
        <f>IF($Q$2=2,"Réconciliation selon les livres comptables","Reconciliation as per BookKeeping")</f>
        <v>Reconciliation as per BookKeeping</v>
      </c>
      <c r="D593" s="1527"/>
      <c r="E593" s="1527"/>
      <c r="F593" s="1527"/>
      <c r="G593" s="1527"/>
      <c r="I593" s="1527" t="str">
        <f>IF($Q$2=2,"Réconciliation selon l'état de compte","Reconciliation as per Account Statement")</f>
        <v>Reconciliation as per Account Statement</v>
      </c>
      <c r="J593" s="1527"/>
      <c r="K593" s="1527"/>
      <c r="L593" s="1527"/>
      <c r="M593" s="1527"/>
      <c r="N593" s="1114"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25">
      <c r="C594" s="1528" t="str">
        <f>'Set up ~ Config'!G94</f>
        <v>Disponible ~ Available</v>
      </c>
      <c r="D594" s="1528"/>
      <c r="E594" s="1528"/>
      <c r="F594" s="1115" t="str">
        <f>LEFT('Set up ~ Config'!F94,4)</f>
        <v>2290</v>
      </c>
      <c r="G594" s="82"/>
      <c r="I594" s="1529"/>
      <c r="J594" s="1529"/>
      <c r="K594" s="1529"/>
      <c r="L594" s="1529"/>
      <c r="M594" s="1529"/>
      <c r="N594" s="1529"/>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25">
      <c r="C595" s="1530" t="str">
        <f>IF($Q$2=2,"Solde du compte au ","Account Balance on ")</f>
        <v xml:space="preserve">Account Balance on </v>
      </c>
      <c r="D595" s="1530"/>
      <c r="E595" s="1530"/>
      <c r="F595" s="1116">
        <f>DATEVALUE('Set up ~ Config'!$L$5)</f>
        <v>45535</v>
      </c>
      <c r="G595" s="1117">
        <f>'Set up ~ Config'!D94</f>
        <v>0</v>
      </c>
      <c r="I595" s="1118" t="str">
        <f>IF($Q$2=2,"Date (aaaa-mm-jj):","Date (yyyy-mm-dd):")</f>
        <v>Date (yyyy-mm-dd):</v>
      </c>
      <c r="J595" s="957"/>
      <c r="K595" s="1531" t="str">
        <f>IF($Q$2=2,"Solde :","Balance :")</f>
        <v>Balance :</v>
      </c>
      <c r="L595" s="1532"/>
      <c r="M595" s="1533"/>
      <c r="N595" s="942"/>
      <c r="P595" s="12"/>
      <c r="Q595" s="1542"/>
      <c r="R595" s="1542"/>
      <c r="S595" s="1542"/>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2">
      <c r="C596" s="1536" t="str">
        <f>IF($Q$2=2," Plus: Accroissements (Jrnl des dépenses)","Plus: Increases (Expense Jrnl)")</f>
        <v>Plus: Increases (Expense Jrnl)</v>
      </c>
      <c r="D596" s="1536"/>
      <c r="E596" s="1536"/>
      <c r="F596" s="1536"/>
      <c r="G596" s="1117">
        <f>'Jrnl Exp ~ Dép'!G567</f>
        <v>0</v>
      </c>
      <c r="H596" s="1120"/>
      <c r="P596" s="12"/>
      <c r="Q596" s="12"/>
      <c r="R596" s="12"/>
      <c r="S596" s="12"/>
      <c r="T596" s="12"/>
      <c r="U596" s="1119"/>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2">
      <c r="C597" s="1536" t="str">
        <f>IF($Q$2=2,"Moins: Décroissements (Jrnl des revenus)","Less: Decreases (Revenue Jrnl)")</f>
        <v>Less: Decreases (Revenue Jrnl)</v>
      </c>
      <c r="D597" s="1536"/>
      <c r="E597" s="1536"/>
      <c r="F597" s="1536"/>
      <c r="G597" s="1117">
        <f>'Jrnl Rev'!G567</f>
        <v>0</v>
      </c>
      <c r="J597" s="188"/>
      <c r="K597" s="188"/>
      <c r="L597" s="188"/>
      <c r="M597" s="188"/>
      <c r="N597" s="1121"/>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2">
      <c r="C598" s="1538"/>
      <c r="D598" s="1538"/>
      <c r="E598" s="1538"/>
      <c r="F598" s="1538"/>
      <c r="H598" s="1120"/>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25">
      <c r="C599" s="1537" t="str">
        <f>IF($Q$2=2,F594&amp;" Fonds disponible du compte",F594&amp;" Account Available Funds")</f>
        <v>2290 Account Available Funds</v>
      </c>
      <c r="D599" s="1537"/>
      <c r="E599" s="1537"/>
      <c r="F599" s="1537"/>
      <c r="G599" s="1122"/>
      <c r="I599" s="18"/>
      <c r="J599" s="12"/>
      <c r="K599" s="12"/>
      <c r="L599" s="12"/>
      <c r="M599" s="12"/>
      <c r="N599" s="1123"/>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25">
      <c r="C600" s="1539" t="str">
        <f>IF($Q$2=2,"Solde reporté à la ligne "&amp;F594&amp;" du Bilan - page 8","This balance fwrd'd to line "&amp;F594&amp;" of Balance Sheet -  page 8")</f>
        <v>This balance fwrd'd to line 2290 of Balance Sheet -  page 8</v>
      </c>
      <c r="D600" s="1539"/>
      <c r="E600" s="1539"/>
      <c r="F600" s="1539"/>
      <c r="G600" s="1124">
        <f>IF(AND(SUM(G595+G596-G597)&lt;0.001,SUM(G595+G596-G597)&gt;-0.001),0,SUM(G595+G596-G597))</f>
        <v>0</v>
      </c>
      <c r="H600" s="605"/>
      <c r="J600" s="82"/>
      <c r="K600" s="82"/>
      <c r="L600" s="82"/>
      <c r="M600" s="1125"/>
      <c r="N600" s="1124">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25">
      <c r="F601" s="189"/>
      <c r="J601" s="1120"/>
      <c r="M601" s="1126"/>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25">
      <c r="C602" s="1524"/>
      <c r="D602" s="1524"/>
      <c r="E602" s="1524"/>
      <c r="F602" s="1524"/>
      <c r="G602" s="1127">
        <f>IF(AND(G600-N600&lt;0.001,G600-N600&gt;-0.001),0,G600-N600)</f>
        <v>0</v>
      </c>
      <c r="H602" s="1534">
        <f>IF($Q$2=2,IF(G602=0,$T$8,$T$5),IF(G602=0,$T$9,$T$7))</f>
        <v>0</v>
      </c>
      <c r="I602" s="1534"/>
      <c r="J602" s="1534"/>
      <c r="K602" s="1534"/>
      <c r="L602" s="1534"/>
      <c r="M602" s="1534"/>
      <c r="N602" s="1535"/>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2">
      <c r="C603" s="1523"/>
      <c r="D603" s="1523"/>
      <c r="E603" s="1523"/>
      <c r="F603" s="1523"/>
      <c r="G603" s="1523"/>
      <c r="H603" s="1523"/>
      <c r="I603" s="1523"/>
      <c r="J603" s="1523"/>
      <c r="K603" s="1523"/>
      <c r="L603" s="1523"/>
      <c r="M603" s="1523"/>
      <c r="N603" s="1523"/>
      <c r="O603" s="1111"/>
      <c r="P603" s="1106"/>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2">
      <c r="C604" s="1525"/>
      <c r="D604" s="1525"/>
      <c r="E604" s="1525"/>
      <c r="F604" s="1525"/>
      <c r="G604" s="1525"/>
      <c r="H604" s="1525"/>
      <c r="I604" s="1525"/>
      <c r="J604" s="1525"/>
      <c r="K604" s="1525"/>
      <c r="L604" s="1525"/>
      <c r="M604" s="1525"/>
      <c r="N604" s="1525"/>
      <c r="O604" s="1111"/>
      <c r="P604" s="1106"/>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 ref="Q517:S517"/>
    <mergeCell ref="C518:F518"/>
    <mergeCell ref="C519:F519"/>
    <mergeCell ref="C520:F520"/>
    <mergeCell ref="C521:F521"/>
    <mergeCell ref="C522:F522"/>
    <mergeCell ref="H524:N524"/>
    <mergeCell ref="C524:F524"/>
    <mergeCell ref="C537:F537"/>
    <mergeCell ref="H537:N537"/>
    <mergeCell ref="Q504:S504"/>
    <mergeCell ref="C505:F505"/>
    <mergeCell ref="H511:N511"/>
    <mergeCell ref="C512:N512"/>
    <mergeCell ref="C513:N513"/>
    <mergeCell ref="D514:M514"/>
    <mergeCell ref="C515:G515"/>
    <mergeCell ref="I515:M515"/>
    <mergeCell ref="C516:E516"/>
    <mergeCell ref="I516:N516"/>
    <mergeCell ref="K504:M504"/>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Q413:S413"/>
    <mergeCell ref="C417:F417"/>
    <mergeCell ref="C418:F418"/>
    <mergeCell ref="C420:F420"/>
    <mergeCell ref="H420:N420"/>
    <mergeCell ref="C421:N421"/>
    <mergeCell ref="C422:N422"/>
    <mergeCell ref="D423:M423"/>
    <mergeCell ref="C424:G424"/>
    <mergeCell ref="I424:M424"/>
    <mergeCell ref="C399:E399"/>
    <mergeCell ref="C400:E400"/>
    <mergeCell ref="C403:F403"/>
    <mergeCell ref="C404:F404"/>
    <mergeCell ref="C407:F407"/>
    <mergeCell ref="H407:N407"/>
    <mergeCell ref="C408:N408"/>
    <mergeCell ref="C409:N409"/>
    <mergeCell ref="D410:M410"/>
    <mergeCell ref="K400:M40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Q270:S270"/>
    <mergeCell ref="C271:F271"/>
    <mergeCell ref="C277:F277"/>
    <mergeCell ref="H277:N277"/>
    <mergeCell ref="C278:N278"/>
    <mergeCell ref="C279:N279"/>
    <mergeCell ref="D280:M280"/>
    <mergeCell ref="C281:G281"/>
    <mergeCell ref="I281:M281"/>
    <mergeCell ref="K270:M270"/>
    <mergeCell ref="C265:N265"/>
    <mergeCell ref="C266:N266"/>
    <mergeCell ref="D267:M267"/>
    <mergeCell ref="C268:G268"/>
    <mergeCell ref="I268:M268"/>
    <mergeCell ref="C269:E269"/>
    <mergeCell ref="I269:N269"/>
    <mergeCell ref="C258:F258"/>
    <mergeCell ref="C259:F259"/>
    <mergeCell ref="C260:F260"/>
    <mergeCell ref="C261:F261"/>
    <mergeCell ref="C262:F262"/>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19:F219"/>
    <mergeCell ref="C225:F225"/>
    <mergeCell ref="H225:N225"/>
    <mergeCell ref="C226:N226"/>
    <mergeCell ref="C227:N227"/>
    <mergeCell ref="D228:M228"/>
    <mergeCell ref="C229:G229"/>
    <mergeCell ref="I229:M229"/>
    <mergeCell ref="C222:F222"/>
    <mergeCell ref="C223:F223"/>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Q127:S127"/>
    <mergeCell ref="C128:F128"/>
    <mergeCell ref="C130:F130"/>
    <mergeCell ref="C131:F131"/>
    <mergeCell ref="C132:F132"/>
    <mergeCell ref="C134:F134"/>
    <mergeCell ref="H134:N134"/>
    <mergeCell ref="C135:N135"/>
    <mergeCell ref="C138:G138"/>
    <mergeCell ref="I138:M138"/>
    <mergeCell ref="D137:M137"/>
    <mergeCell ref="C136:N136"/>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283:E283"/>
    <mergeCell ref="K283:M283"/>
    <mergeCell ref="Q283:S283"/>
    <mergeCell ref="C284:F284"/>
    <mergeCell ref="C285:F285"/>
    <mergeCell ref="C272:F272"/>
    <mergeCell ref="C273:F273"/>
    <mergeCell ref="C274:F274"/>
    <mergeCell ref="C275:F275"/>
    <mergeCell ref="C282:E282"/>
    <mergeCell ref="I282:N282"/>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D592:M592"/>
    <mergeCell ref="C593:G593"/>
    <mergeCell ref="I593:M593"/>
    <mergeCell ref="I580:M580"/>
    <mergeCell ref="C563:F563"/>
    <mergeCell ref="H563:N563"/>
    <mergeCell ref="C564:N564"/>
    <mergeCell ref="C565:N565"/>
    <mergeCell ref="C577:N577"/>
    <mergeCell ref="C576:F576"/>
    <mergeCell ref="D579:M579"/>
    <mergeCell ref="C580:G580"/>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C17:F17"/>
    <mergeCell ref="H17:N17"/>
    <mergeCell ref="C19:N19"/>
    <mergeCell ref="D20:M20"/>
    <mergeCell ref="C21:G21"/>
    <mergeCell ref="I21:M21"/>
    <mergeCell ref="C22:E22"/>
    <mergeCell ref="I22:N22"/>
    <mergeCell ref="C23:E23"/>
    <mergeCell ref="K23:M23"/>
    <mergeCell ref="C18:N18"/>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499984740745262"/>
    <pageSetUpPr fitToPage="1"/>
  </sheetPr>
  <dimension ref="A1:AMJ252"/>
  <sheetViews>
    <sheetView showGridLines="0" showZeros="0" zoomScale="85" zoomScaleNormal="85" zoomScalePageLayoutView="70" workbookViewId="0">
      <pane ySplit="8" topLeftCell="A154" activePane="bottomLeft" state="frozen"/>
      <selection pane="bottomLeft" activeCell="H131" sqref="H131:H164"/>
    </sheetView>
  </sheetViews>
  <sheetFormatPr defaultColWidth="11.42578125" defaultRowHeight="12.75" x14ac:dyDescent="0.2"/>
  <cols>
    <col min="1" max="1" width="3.7109375" style="1" customWidth="1"/>
    <col min="2" max="2" width="6.5703125" style="198" customWidth="1"/>
    <col min="3" max="3" width="6.5703125" style="17" customWidth="1"/>
    <col min="4" max="4" width="8.85546875" style="17" customWidth="1"/>
    <col min="5" max="5" width="66.28515625" style="508" customWidth="1"/>
    <col min="6" max="6" width="37.85546875" style="573" customWidth="1"/>
    <col min="7" max="7" width="22.28515625" style="573" customWidth="1"/>
    <col min="8" max="8" width="19.140625" style="572" customWidth="1"/>
    <col min="9" max="9" width="19.140625" style="198" customWidth="1"/>
    <col min="10" max="10" width="19.140625" style="572" customWidth="1"/>
    <col min="11" max="11" width="1.42578125" style="1" customWidth="1"/>
    <col min="12" max="12" width="7.28515625" style="1" customWidth="1"/>
    <col min="13" max="13" width="16.28515625" style="1" customWidth="1"/>
    <col min="14" max="14" width="24.140625" style="1" customWidth="1"/>
    <col min="15" max="15" width="2.7109375" style="1" customWidth="1"/>
    <col min="16" max="16" width="36.85546875" style="1" hidden="1" customWidth="1"/>
    <col min="17" max="245" width="9.140625" style="1" customWidth="1"/>
    <col min="246" max="1024" width="11.42578125" style="1"/>
  </cols>
  <sheetData>
    <row r="1" spans="2:16" ht="33.75" customHeight="1" x14ac:dyDescent="0.4">
      <c r="B1" s="1511" t="str">
        <f>IF(K1=2,"Suivi du budget","Budget Tracker")</f>
        <v>Budget Tracker</v>
      </c>
      <c r="C1" s="1511"/>
      <c r="D1" s="1511"/>
      <c r="E1" s="1511"/>
      <c r="F1" s="1511"/>
      <c r="G1" s="1511"/>
      <c r="H1" s="1511"/>
      <c r="I1" s="1511"/>
      <c r="J1" s="1511"/>
      <c r="K1" s="23">
        <f>'Set up ~ Config'!L10</f>
        <v>1</v>
      </c>
      <c r="L1" s="868" t="str">
        <f>IF(H61=H166,"Y","N")</f>
        <v>Y</v>
      </c>
      <c r="M1" s="1592" t="str">
        <f>IF(K1=2,"Totaux","Total")</f>
        <v>Total</v>
      </c>
      <c r="N1" s="1592"/>
      <c r="O1" s="505"/>
    </row>
    <row r="2" spans="2:16" ht="33.75" customHeight="1" x14ac:dyDescent="0.2">
      <c r="B2" s="1593" t="str">
        <f>'Set up ~ Config'!B3</f>
        <v>Fiscal Year 2024 - 2025</v>
      </c>
      <c r="C2" s="1593"/>
      <c r="D2" s="1593"/>
      <c r="E2" s="1593"/>
      <c r="F2" s="1593"/>
      <c r="G2" s="1593"/>
      <c r="H2" s="1593"/>
      <c r="I2" s="1593"/>
      <c r="J2" s="1593"/>
      <c r="K2" s="23"/>
      <c r="L2" s="1594" t="str">
        <f>IF(K1=2,"Revenus","Revenues")</f>
        <v>Revenues</v>
      </c>
      <c r="M2" s="1594"/>
      <c r="N2" s="869">
        <f>H61</f>
        <v>0</v>
      </c>
      <c r="O2" s="505"/>
    </row>
    <row r="3" spans="2:16" ht="27.75" customHeight="1" x14ac:dyDescent="0.2">
      <c r="B3" s="1593" t="str">
        <f>'Set up ~ Config'!B2</f>
        <v xml:space="preserve">SSC </v>
      </c>
      <c r="C3" s="1593"/>
      <c r="D3" s="1593"/>
      <c r="E3" s="1593"/>
      <c r="F3" s="1593"/>
      <c r="G3" s="1593"/>
      <c r="H3" s="1593"/>
      <c r="I3" s="1593"/>
      <c r="J3" s="1593"/>
      <c r="L3" s="1594" t="str">
        <f>IF(K1=2,"Dépenses","Expenses")</f>
        <v>Expenses</v>
      </c>
      <c r="M3" s="1594"/>
      <c r="N3" s="869">
        <f>H166</f>
        <v>0</v>
      </c>
      <c r="O3" s="505"/>
    </row>
    <row r="4" spans="2:16" ht="14.25" customHeight="1" x14ac:dyDescent="0.2">
      <c r="B4" s="199"/>
      <c r="F4" s="509"/>
      <c r="G4" s="510"/>
      <c r="H4" s="778"/>
      <c r="I4" s="1575" t="str">
        <f>IF(K1=2,"Inscrivez votre budget approuvé dans cette colonne","Fill in your approved budget in this column")</f>
        <v>Fill in your approved budget in this column</v>
      </c>
      <c r="J4" s="1575"/>
    </row>
    <row r="5" spans="2:16" s="1" customFormat="1" ht="12" hidden="1" customHeight="1" x14ac:dyDescent="0.2">
      <c r="E5" s="509"/>
      <c r="F5" s="509"/>
      <c r="G5" s="510"/>
      <c r="H5" s="22"/>
      <c r="I5" s="1575"/>
      <c r="J5" s="1575"/>
    </row>
    <row r="6" spans="2:16" s="512" customFormat="1" ht="21" customHeight="1" thickBot="1" x14ac:dyDescent="0.25">
      <c r="B6" s="1587" t="s">
        <v>135</v>
      </c>
      <c r="C6" s="1587"/>
      <c r="D6" s="936"/>
      <c r="E6" s="939"/>
      <c r="F6" s="937" t="str">
        <f>IF(K1=2,"Date (aaa-mm-jj):","Date (yyyy-mm-dd):")</f>
        <v>Date (yyyy-mm-dd):</v>
      </c>
      <c r="G6" s="1039"/>
      <c r="H6" s="514"/>
      <c r="I6" s="1576"/>
      <c r="J6" s="1576"/>
      <c r="L6" s="1520" t="str">
        <f>IF($K$1=2,IF(H61=H166,"BUDGET ÉQUILIBRÉ","BUDGET NON ÉQUILIBRÉ"),IF(H61=H166,"BALANCED BUDGET","UNBALANCED BUDGET"))</f>
        <v>BALANCED BUDGET</v>
      </c>
      <c r="M6" s="1520"/>
      <c r="N6" s="1520"/>
      <c r="O6" s="1520"/>
    </row>
    <row r="7" spans="2:16" s="12" customFormat="1" ht="39" customHeight="1" x14ac:dyDescent="0.2">
      <c r="B7" s="574" t="str">
        <f>IF(K1=2,"Catégories","ACC
Descr")</f>
        <v>ACC
Descr</v>
      </c>
      <c r="C7" s="575" t="s">
        <v>137</v>
      </c>
      <c r="D7" s="575"/>
      <c r="E7" s="575" t="s">
        <v>138</v>
      </c>
      <c r="F7" s="575" t="str">
        <f>IF(K1=2,"Détails (exemples)","Details (examples)")</f>
        <v>Details (examples)</v>
      </c>
      <c r="G7" s="575"/>
      <c r="H7" s="576" t="str">
        <f>IF(K1=2,"Budget 
(cette année)","Budget
(this year)")</f>
        <v>Budget
(this year)</v>
      </c>
      <c r="I7" s="575" t="str">
        <f>IF(K1=2,"Réel 
(cette année)","Actuals
(this year)")</f>
        <v>Actuals
(this year)</v>
      </c>
      <c r="J7" s="577" t="str">
        <f>IF(K1=2,"Différentiel","Differential")</f>
        <v>Differential</v>
      </c>
      <c r="L7" s="1520"/>
      <c r="M7" s="1520"/>
      <c r="N7" s="1520"/>
      <c r="O7" s="1520"/>
    </row>
    <row r="8" spans="2:16" s="12" customFormat="1" ht="23.25" customHeight="1" x14ac:dyDescent="0.2">
      <c r="B8" s="1595"/>
      <c r="C8" s="1596"/>
      <c r="D8" s="1596"/>
      <c r="E8" s="1596"/>
      <c r="F8" s="1596"/>
      <c r="G8" s="1596"/>
      <c r="H8" s="1596"/>
      <c r="I8" s="1596"/>
      <c r="J8" s="1597"/>
      <c r="L8" s="1598"/>
      <c r="M8" s="1598"/>
      <c r="N8" s="1599"/>
      <c r="O8" s="1599"/>
    </row>
    <row r="9" spans="2:16" s="12" customFormat="1" ht="23.25" customHeight="1" thickBot="1" x14ac:dyDescent="0.25">
      <c r="B9" s="1600" t="str">
        <f>IF(K1=2,"Revenus","Income Items")</f>
        <v>Income Items</v>
      </c>
      <c r="C9" s="1600"/>
      <c r="D9" s="1600"/>
      <c r="E9" s="1600"/>
      <c r="F9" s="1600"/>
      <c r="G9" s="1600"/>
      <c r="H9" s="1600"/>
      <c r="I9" s="1600"/>
      <c r="J9" s="1601"/>
      <c r="M9" s="578"/>
      <c r="N9" s="579"/>
      <c r="O9" s="580"/>
    </row>
    <row r="10" spans="2:16" s="12" customFormat="1" ht="33" customHeight="1" thickTop="1" thickBot="1" x14ac:dyDescent="0.25">
      <c r="B10" s="1588" t="str">
        <f>CONCATENATE('Jrnl Rev'!Q4," - ",'Jrnl Rev'!Q5)</f>
        <v>4000 - Donations, Grants &amp; Other</v>
      </c>
      <c r="C10" s="522">
        <f>'Jrnl Rev'!Q$6</f>
        <v>4010</v>
      </c>
      <c r="D10" s="1589"/>
      <c r="E10" s="523" t="str">
        <f>+'Jrnl Rev'!Q8</f>
        <v>From Official Sponsor(s)</v>
      </c>
      <c r="F10" s="524" t="str">
        <f>IF(K1=2,"De l'organisation qui parraine","From Squadron's Official Sponsor only")</f>
        <v>From Squadron's Official Sponsor only</v>
      </c>
      <c r="G10" s="1578"/>
      <c r="H10" s="200"/>
      <c r="I10" s="1204">
        <f>'Jrnl Rev'!Q516</f>
        <v>0</v>
      </c>
      <c r="J10" s="1213">
        <f>IF($I10=0,0,$I10-$H10)</f>
        <v>0</v>
      </c>
      <c r="L10" s="21"/>
      <c r="P10" s="581" t="str">
        <f>'Set up ~ Config'!$F$32&amp;" "&amp;'Set up ~ Config'!$G$32&amp;" "&amp;'Set up ~ Config'!$G$31</f>
        <v>31 8 2025</v>
      </c>
    </row>
    <row r="11" spans="2:16" s="12" customFormat="1" ht="33" customHeight="1" x14ac:dyDescent="0.2">
      <c r="B11" s="1588"/>
      <c r="C11" s="526">
        <f>'Jrnl Rev'!R$6</f>
        <v>4020</v>
      </c>
      <c r="D11" s="1589"/>
      <c r="E11" s="527" t="str">
        <f>+'Jrnl Rev'!R8</f>
        <v>From Non-Sponsor Veterans Organizations, Auxiliaries</v>
      </c>
      <c r="F11" s="528" t="str">
        <f>IF(K1=2,"Légion, Ass ARC","Legion, RCAF Ass")</f>
        <v>Legion, RCAF Ass</v>
      </c>
      <c r="G11" s="1578"/>
      <c r="H11" s="201"/>
      <c r="I11" s="1211">
        <f>'Jrnl Rev'!R516</f>
        <v>0</v>
      </c>
      <c r="J11" s="1214">
        <f>IF($I11=0,0,$I11-$H11)</f>
        <v>0</v>
      </c>
      <c r="L11" s="21"/>
      <c r="P11" s="582">
        <f ca="1">IF(TODAY()&lt;$P$10,TODAY(),$P$10)</f>
        <v>45517</v>
      </c>
    </row>
    <row r="12" spans="2:16" s="12" customFormat="1" ht="33" customHeight="1" x14ac:dyDescent="0.2">
      <c r="B12" s="1588"/>
      <c r="C12" s="1590">
        <f>'Jrnl Rev'!S$6</f>
        <v>4030</v>
      </c>
      <c r="D12" s="529"/>
      <c r="E12" s="523" t="str">
        <f>+'Jrnl Rev'!S$8</f>
        <v>From Other Service Clubs (Charities)</v>
      </c>
      <c r="F12" s="530" t="str">
        <f>IF(K1=2,"4030 TOTAL","4030 TOTAL")</f>
        <v>4030 TOTAL</v>
      </c>
      <c r="G12" s="531"/>
      <c r="H12" s="583">
        <f>SUM(G13:G16)</f>
        <v>0</v>
      </c>
      <c r="I12" s="1226">
        <f>'Jrnl Rev'!S$516</f>
        <v>0</v>
      </c>
      <c r="J12" s="585">
        <f>IF($I12=0,0,$I12-$H12)</f>
        <v>0</v>
      </c>
      <c r="L12" s="21"/>
    </row>
    <row r="13" spans="2:16" s="12" customFormat="1" ht="33" customHeight="1" x14ac:dyDescent="0.2">
      <c r="B13" s="1588"/>
      <c r="C13" s="1590"/>
      <c r="D13" s="1227">
        <f>'Jrnl Rev'!T$6</f>
        <v>4030.1</v>
      </c>
      <c r="E13" s="1228" t="str">
        <f>+'Jrnl Rev'!T$8</f>
        <v>Disponible ~ Available</v>
      </c>
      <c r="F13" s="1229"/>
      <c r="G13" s="202"/>
      <c r="H13" s="1591"/>
      <c r="I13" s="1207">
        <f>'Jrnl Rev'!T$516</f>
        <v>0</v>
      </c>
      <c r="J13" s="1215">
        <f>IF($I13=0,0,$I13-$G13)</f>
        <v>0</v>
      </c>
      <c r="L13" s="21"/>
    </row>
    <row r="14" spans="2:16" s="12" customFormat="1" ht="33" customHeight="1" x14ac:dyDescent="0.2">
      <c r="B14" s="1588"/>
      <c r="C14" s="1590"/>
      <c r="D14" s="1227">
        <f>'Jrnl Rev'!U$6</f>
        <v>4030.2</v>
      </c>
      <c r="E14" s="1228" t="str">
        <f>+'Jrnl Rev'!U$8</f>
        <v>Disponible ~ Available</v>
      </c>
      <c r="F14" s="1229"/>
      <c r="G14" s="202"/>
      <c r="H14" s="1591"/>
      <c r="I14" s="1207">
        <f>'Jrnl Rev'!U$516</f>
        <v>0</v>
      </c>
      <c r="J14" s="1215">
        <f>IF($I14=0,0,$I14-$G14)</f>
        <v>0</v>
      </c>
      <c r="L14" s="21"/>
    </row>
    <row r="15" spans="2:16" s="12" customFormat="1" ht="33" customHeight="1" x14ac:dyDescent="0.2">
      <c r="B15" s="1588"/>
      <c r="C15" s="1590"/>
      <c r="D15" s="1227">
        <f>'Jrnl Rev'!V$6</f>
        <v>4030.3</v>
      </c>
      <c r="E15" s="1228" t="str">
        <f>+'Jrnl Rev'!V$8</f>
        <v>Disponible ~ Available</v>
      </c>
      <c r="F15" s="1229"/>
      <c r="G15" s="202"/>
      <c r="H15" s="1591"/>
      <c r="I15" s="1207">
        <f>'Jrnl Rev'!V$516</f>
        <v>0</v>
      </c>
      <c r="J15" s="1215">
        <f>IF($I15=0,0,$I15-$G15)</f>
        <v>0</v>
      </c>
      <c r="L15" s="21"/>
    </row>
    <row r="16" spans="2:16" s="12" customFormat="1" ht="33" customHeight="1" x14ac:dyDescent="0.2">
      <c r="B16" s="1588"/>
      <c r="C16" s="1590"/>
      <c r="D16" s="1230">
        <f>'Jrnl Rev'!W$6</f>
        <v>4030.4</v>
      </c>
      <c r="E16" s="1231" t="str">
        <f>+'Jrnl Rev'!W$8</f>
        <v>Disponible ~ Available</v>
      </c>
      <c r="F16" s="1232"/>
      <c r="G16" s="203"/>
      <c r="H16" s="1591"/>
      <c r="I16" s="1206">
        <f>'Jrnl Rev'!W$516</f>
        <v>0</v>
      </c>
      <c r="J16" s="1216">
        <f>IF($I16=0,0,$I16-$G16)</f>
        <v>0</v>
      </c>
      <c r="L16" s="21"/>
    </row>
    <row r="17" spans="1:12" s="12" customFormat="1" ht="33" customHeight="1" x14ac:dyDescent="0.2">
      <c r="B17" s="1588"/>
      <c r="C17" s="532">
        <f>'Jrnl Rev'!X$6</f>
        <v>4040</v>
      </c>
      <c r="D17" s="1579"/>
      <c r="E17" s="533" t="str">
        <f>+'Jrnl Rev'!X8</f>
        <v>Specific Purpose Non-DND Grants</v>
      </c>
      <c r="F17" s="534" t="str">
        <f>IF(K1=2,"Subvention spéciale pour projet","Special grant for a project")</f>
        <v>Special grant for a project</v>
      </c>
      <c r="G17" s="1579"/>
      <c r="H17" s="204"/>
      <c r="I17" s="1209">
        <f>'Jrnl Rev'!X516</f>
        <v>0</v>
      </c>
      <c r="J17" s="1217">
        <f t="shared" ref="J17:J59" si="0">IF($I17=0,0,$I17-$H17)</f>
        <v>0</v>
      </c>
      <c r="L17" s="21"/>
    </row>
    <row r="18" spans="1:12" s="12" customFormat="1" ht="33" customHeight="1" x14ac:dyDescent="0.2">
      <c r="B18" s="1588"/>
      <c r="C18" s="147">
        <f>'Jrnl Rev'!Y$6</f>
        <v>4050</v>
      </c>
      <c r="D18" s="1579"/>
      <c r="E18" s="501" t="str">
        <f>+'Jrnl Rev'!Y8</f>
        <v>Bequests and Such</v>
      </c>
      <c r="F18" s="535" t="str">
        <f>IF(K1=2,"Leg testamentaire","Money left in wills")</f>
        <v>Money left in wills</v>
      </c>
      <c r="G18" s="1579"/>
      <c r="H18" s="202"/>
      <c r="I18" s="1207">
        <f>'Jrnl Rev'!Y516</f>
        <v>0</v>
      </c>
      <c r="J18" s="1215">
        <f t="shared" si="0"/>
        <v>0</v>
      </c>
      <c r="L18" s="21"/>
    </row>
    <row r="19" spans="1:12" s="12" customFormat="1" ht="33" customHeight="1" x14ac:dyDescent="0.2">
      <c r="B19" s="1588"/>
      <c r="C19" s="147">
        <f>'Jrnl Rev'!Z$6</f>
        <v>4060</v>
      </c>
      <c r="D19" s="1579"/>
      <c r="E19" s="501" t="str">
        <f>+'Jrnl Rev'!Z8</f>
        <v>Non-Tax Receipt - Other Donations</v>
      </c>
      <c r="F19" s="535"/>
      <c r="G19" s="1579"/>
      <c r="H19" s="202"/>
      <c r="I19" s="1207">
        <f>'Jrnl Rev'!Z516</f>
        <v>0</v>
      </c>
      <c r="J19" s="1215">
        <f t="shared" si="0"/>
        <v>0</v>
      </c>
      <c r="L19" s="21"/>
    </row>
    <row r="20" spans="1:12" s="12" customFormat="1" ht="33" customHeight="1" x14ac:dyDescent="0.2">
      <c r="B20" s="1588"/>
      <c r="C20" s="147">
        <f>'Jrnl Rev'!AA$6</f>
        <v>4070</v>
      </c>
      <c r="D20" s="1579"/>
      <c r="E20" s="501" t="str">
        <f>+'Jrnl Rev'!AA8</f>
        <v>Tax Receipt - Other Donations</v>
      </c>
      <c r="F20" s="535"/>
      <c r="G20" s="1579"/>
      <c r="H20" s="202"/>
      <c r="I20" s="1207">
        <f>'Jrnl Rev'!AA516</f>
        <v>0</v>
      </c>
      <c r="J20" s="1215">
        <f t="shared" si="0"/>
        <v>0</v>
      </c>
      <c r="L20" s="21"/>
    </row>
    <row r="21" spans="1:12" s="12" customFormat="1" ht="33" customHeight="1" x14ac:dyDescent="0.2">
      <c r="B21" s="1588"/>
      <c r="C21" s="147">
        <f>'Jrnl Rev'!AB$6</f>
        <v>4080</v>
      </c>
      <c r="D21" s="1579"/>
      <c r="E21" s="501" t="str">
        <f>+'Jrnl Rev'!AB8</f>
        <v>Disponible ~ Available</v>
      </c>
      <c r="F21" s="535">
        <f>IF($K$1=2,'Jrnl Rev'!AB$13,'Jrnl Rev'!AB$14)</f>
        <v>0</v>
      </c>
      <c r="G21" s="1579"/>
      <c r="H21" s="202"/>
      <c r="I21" s="1207">
        <f>'Jrnl Rev'!AB516</f>
        <v>0</v>
      </c>
      <c r="J21" s="1215">
        <f t="shared" si="0"/>
        <v>0</v>
      </c>
      <c r="L21" s="21"/>
    </row>
    <row r="22" spans="1:12" s="12" customFormat="1" ht="33" customHeight="1" x14ac:dyDescent="0.2">
      <c r="B22" s="1588"/>
      <c r="C22" s="536">
        <f>'Jrnl Rev'!AC$6</f>
        <v>4090</v>
      </c>
      <c r="D22" s="1579"/>
      <c r="E22" s="537" t="str">
        <f>+'Jrnl Rev'!AC8</f>
        <v>Disponible ~ Available</v>
      </c>
      <c r="F22" s="538">
        <f>IF($K$1=2,'Jrnl Rev'!AC$13,'Jrnl Rev'!AC$14)</f>
        <v>0</v>
      </c>
      <c r="G22" s="1579"/>
      <c r="H22" s="205"/>
      <c r="I22" s="1207">
        <f>'Jrnl Rev'!AC516</f>
        <v>0</v>
      </c>
      <c r="J22" s="1215">
        <f t="shared" si="0"/>
        <v>0</v>
      </c>
      <c r="L22" s="21"/>
    </row>
    <row r="23" spans="1:12" s="12" customFormat="1" ht="33" customHeight="1" x14ac:dyDescent="0.2">
      <c r="B23" s="1588" t="str">
        <f>CONCATENATE('Jrnl Rev'!AD4," - ",'Jrnl Rev'!AD5)</f>
        <v>4200 - Gaming &amp; Lotteries Fundraising</v>
      </c>
      <c r="C23" s="522">
        <f>'Jrnl Rev'!AD$6</f>
        <v>4210</v>
      </c>
      <c r="D23" s="1589"/>
      <c r="E23" s="523" t="str">
        <f>+'Jrnl Rev'!AD8</f>
        <v>SQN 
Lottery/Raffle</v>
      </c>
      <c r="F23" s="524">
        <f>IF($K$1=2,'Jrnl Rev'!AD$13,'Jrnl Rev'!AD$14)</f>
        <v>0</v>
      </c>
      <c r="G23" s="1589"/>
      <c r="H23" s="200"/>
      <c r="I23" s="1204">
        <f>'Jrnl Rev'!AD516</f>
        <v>0</v>
      </c>
      <c r="J23" s="1213">
        <f t="shared" si="0"/>
        <v>0</v>
      </c>
      <c r="L23" s="21"/>
    </row>
    <row r="24" spans="1:12" s="12" customFormat="1" ht="33" customHeight="1" x14ac:dyDescent="0.2">
      <c r="A24" s="539"/>
      <c r="B24" s="1588"/>
      <c r="C24" s="147">
        <f>'Jrnl Rev'!AE$6</f>
        <v>4220</v>
      </c>
      <c r="D24" s="1589"/>
      <c r="E24" s="501" t="str">
        <f>+'Jrnl Rev'!AE8</f>
        <v>Bingo Income</v>
      </c>
      <c r="F24" s="540">
        <f>IF($K$1=2,'Jrnl Rev'!AE$13,'Jrnl Rev'!AE$14)</f>
        <v>0</v>
      </c>
      <c r="G24" s="1589"/>
      <c r="H24" s="202"/>
      <c r="I24" s="1207">
        <f>'Jrnl Rev'!AE516</f>
        <v>0</v>
      </c>
      <c r="J24" s="1215">
        <f t="shared" si="0"/>
        <v>0</v>
      </c>
      <c r="L24" s="21"/>
    </row>
    <row r="25" spans="1:12" s="12" customFormat="1" ht="33" customHeight="1" x14ac:dyDescent="0.2">
      <c r="A25" s="539"/>
      <c r="B25" s="1588"/>
      <c r="C25" s="147">
        <f>'Jrnl Rev'!AF$6</f>
        <v>4230</v>
      </c>
      <c r="D25" s="1589"/>
      <c r="E25" s="501" t="str">
        <f>+'Jrnl Rev'!AF8</f>
        <v>Disponible ~ Available</v>
      </c>
      <c r="F25" s="540">
        <f>IF($K$1=2,'Jrnl Rev'!AF$13,'Jrnl Rev'!AF$14)</f>
        <v>0</v>
      </c>
      <c r="G25" s="1589"/>
      <c r="H25" s="202"/>
      <c r="I25" s="1207">
        <f>'Jrnl Rev'!AF516</f>
        <v>0</v>
      </c>
      <c r="J25" s="1215">
        <f t="shared" si="0"/>
        <v>0</v>
      </c>
      <c r="L25" s="21"/>
    </row>
    <row r="26" spans="1:12" s="12" customFormat="1" ht="33" customHeight="1" x14ac:dyDescent="0.2">
      <c r="A26" s="539"/>
      <c r="B26" s="1588"/>
      <c r="C26" s="147">
        <f>'Jrnl Rev'!AG$6</f>
        <v>4240</v>
      </c>
      <c r="D26" s="1589"/>
      <c r="E26" s="501" t="str">
        <f>+'Jrnl Rev'!AG8</f>
        <v>Disponible ~ Available</v>
      </c>
      <c r="F26" s="540">
        <f>IF($K$1=2,'Jrnl Rev'!AG$13,'Jrnl Rev'!AG$14)</f>
        <v>0</v>
      </c>
      <c r="G26" s="1589"/>
      <c r="H26" s="202"/>
      <c r="I26" s="1207">
        <f>'Jrnl Rev'!AG516</f>
        <v>0</v>
      </c>
      <c r="J26" s="1215">
        <f t="shared" si="0"/>
        <v>0</v>
      </c>
      <c r="L26" s="21"/>
    </row>
    <row r="27" spans="1:12" s="12" customFormat="1" ht="33" customHeight="1" x14ac:dyDescent="0.2">
      <c r="A27" s="539"/>
      <c r="B27" s="1588"/>
      <c r="C27" s="147">
        <f>'Jrnl Rev'!AH$6</f>
        <v>4250</v>
      </c>
      <c r="D27" s="1589"/>
      <c r="E27" s="501" t="str">
        <f>+'Jrnl Rev'!AH8</f>
        <v>Disponible ~ Available</v>
      </c>
      <c r="F27" s="540">
        <f>IF($K$1=2,'Jrnl Rev'!AH$13,'Jrnl Rev'!AH$14)</f>
        <v>0</v>
      </c>
      <c r="G27" s="1589"/>
      <c r="H27" s="202"/>
      <c r="I27" s="1207">
        <f>'Jrnl Rev'!AH516</f>
        <v>0</v>
      </c>
      <c r="J27" s="1215">
        <f t="shared" si="0"/>
        <v>0</v>
      </c>
      <c r="L27" s="21"/>
    </row>
    <row r="28" spans="1:12" s="12" customFormat="1" ht="33" customHeight="1" x14ac:dyDescent="0.2">
      <c r="A28" s="539"/>
      <c r="B28" s="1588"/>
      <c r="C28" s="147">
        <f>'Jrnl Rev'!AI$6</f>
        <v>4260</v>
      </c>
      <c r="D28" s="1589"/>
      <c r="E28" s="501" t="str">
        <f>+'Jrnl Rev'!AI8</f>
        <v>Disponible ~ Available</v>
      </c>
      <c r="F28" s="540">
        <f>IF($K$1=2,'Jrnl Rev'!AI$13,'Jrnl Rev'!AI$14)</f>
        <v>0</v>
      </c>
      <c r="G28" s="1589"/>
      <c r="H28" s="202"/>
      <c r="I28" s="1207">
        <f>'Jrnl Rev'!AI516</f>
        <v>0</v>
      </c>
      <c r="J28" s="1215">
        <f t="shared" si="0"/>
        <v>0</v>
      </c>
      <c r="L28" s="21"/>
    </row>
    <row r="29" spans="1:12" s="12" customFormat="1" ht="33" customHeight="1" x14ac:dyDescent="0.2">
      <c r="A29" s="539"/>
      <c r="B29" s="1588"/>
      <c r="C29" s="147">
        <f>'Jrnl Rev'!AJ$6</f>
        <v>4270</v>
      </c>
      <c r="D29" s="1589"/>
      <c r="E29" s="501" t="str">
        <f>+'Jrnl Rev'!AJ8</f>
        <v>Disponible ~ Available</v>
      </c>
      <c r="F29" s="540">
        <f>IF($K$1=2,'Jrnl Rev'!AJ$13,'Jrnl Rev'!AJ$14)</f>
        <v>0</v>
      </c>
      <c r="G29" s="1589"/>
      <c r="H29" s="202"/>
      <c r="I29" s="1207">
        <f>'Jrnl Rev'!AJ516</f>
        <v>0</v>
      </c>
      <c r="J29" s="1215">
        <f t="shared" si="0"/>
        <v>0</v>
      </c>
      <c r="L29" s="21"/>
    </row>
    <row r="30" spans="1:12" s="12" customFormat="1" ht="33" customHeight="1" x14ac:dyDescent="0.2">
      <c r="A30" s="539"/>
      <c r="B30" s="1588"/>
      <c r="C30" s="147">
        <f>'Jrnl Rev'!AK$6</f>
        <v>4280</v>
      </c>
      <c r="D30" s="1589"/>
      <c r="E30" s="501" t="str">
        <f>+'Jrnl Rev'!AK8</f>
        <v>Disponible ~ Available</v>
      </c>
      <c r="F30" s="540">
        <f>IF($K$1=2,'Jrnl Rev'!AK$13,'Jrnl Rev'!AK$14)</f>
        <v>0</v>
      </c>
      <c r="G30" s="1589"/>
      <c r="H30" s="202"/>
      <c r="I30" s="1207">
        <f>'Jrnl Rev'!AK516</f>
        <v>0</v>
      </c>
      <c r="J30" s="1215">
        <f t="shared" si="0"/>
        <v>0</v>
      </c>
      <c r="L30" s="21"/>
    </row>
    <row r="31" spans="1:12" s="12" customFormat="1" ht="33" customHeight="1" x14ac:dyDescent="0.2">
      <c r="A31" s="539"/>
      <c r="B31" s="1588"/>
      <c r="C31" s="536">
        <f>'Jrnl Rev'!AL$6</f>
        <v>4290</v>
      </c>
      <c r="D31" s="1589"/>
      <c r="E31" s="537" t="str">
        <f>+'Jrnl Rev'!AL8</f>
        <v>Disponible ~ Available</v>
      </c>
      <c r="F31" s="538">
        <f>IF($K$1=2,'Jrnl Rev'!AL$13,'Jrnl Rev'!AL$14)</f>
        <v>0</v>
      </c>
      <c r="G31" s="1589"/>
      <c r="H31" s="205"/>
      <c r="I31" s="1207">
        <f>'Jrnl Rev'!AL516</f>
        <v>0</v>
      </c>
      <c r="J31" s="1215">
        <f t="shared" si="0"/>
        <v>0</v>
      </c>
      <c r="L31" s="21"/>
    </row>
    <row r="32" spans="1:12" s="12" customFormat="1" ht="33" customHeight="1" x14ac:dyDescent="0.2">
      <c r="B32" s="1588" t="str">
        <f>CONCATENATE('Jrnl Rev'!AM4," - ",'Jrnl Rev'!AM5)</f>
        <v>4400 - Other Fundraising</v>
      </c>
      <c r="C32" s="522">
        <f>'Jrnl Rev'!AM$6</f>
        <v>4410</v>
      </c>
      <c r="D32" s="1589"/>
      <c r="E32" s="523" t="str">
        <f>+'Jrnl Rev'!AM8</f>
        <v>Tagging
Revenue
Fall</v>
      </c>
      <c r="F32" s="524">
        <f>IF($K$1=2,'Jrnl Rev'!AM$13,'Jrnl Rev'!AM$14)</f>
        <v>0</v>
      </c>
      <c r="G32" s="1589"/>
      <c r="H32" s="200"/>
      <c r="I32" s="1204">
        <f>'Jrnl Rev'!AM516</f>
        <v>0</v>
      </c>
      <c r="J32" s="1213">
        <f t="shared" si="0"/>
        <v>0</v>
      </c>
      <c r="L32" s="21"/>
    </row>
    <row r="33" spans="2:14" s="12" customFormat="1" ht="33" customHeight="1" x14ac:dyDescent="0.2">
      <c r="B33" s="1588"/>
      <c r="C33" s="147">
        <f>'Jrnl Rev'!AN$6</f>
        <v>4420</v>
      </c>
      <c r="D33" s="1589"/>
      <c r="E33" s="501" t="str">
        <f>+'Jrnl Rev'!AN8</f>
        <v>Tagging
Revenue
Spring</v>
      </c>
      <c r="F33" s="540">
        <f>IF($K$1=2,'Jrnl Rev'!AN$13,'Jrnl Rev'!AN$14)</f>
        <v>0</v>
      </c>
      <c r="G33" s="1589"/>
      <c r="H33" s="202"/>
      <c r="I33" s="1207">
        <f>'Jrnl Rev'!AN516</f>
        <v>0</v>
      </c>
      <c r="J33" s="1215">
        <f t="shared" si="0"/>
        <v>0</v>
      </c>
      <c r="L33" s="21"/>
    </row>
    <row r="34" spans="2:14" s="12" customFormat="1" ht="33" customHeight="1" x14ac:dyDescent="0.2">
      <c r="B34" s="1588"/>
      <c r="C34" s="147">
        <f>'Jrnl Rev'!AO$6</f>
        <v>4430</v>
      </c>
      <c r="D34" s="1589"/>
      <c r="E34" s="501" t="str">
        <f>+'Jrnl Rev'!AO8</f>
        <v>Annual
Banquet
Ticket Sales
&amp; Such</v>
      </c>
      <c r="F34" s="540">
        <f>IF($K$1=2,'Jrnl Rev'!AO$13,'Jrnl Rev'!AO$14)</f>
        <v>0</v>
      </c>
      <c r="G34" s="1589"/>
      <c r="H34" s="202"/>
      <c r="I34" s="1207">
        <f>'Jrnl Rev'!AO516</f>
        <v>0</v>
      </c>
      <c r="J34" s="1215">
        <f t="shared" si="0"/>
        <v>0</v>
      </c>
      <c r="L34" s="21"/>
    </row>
    <row r="35" spans="2:14" s="12" customFormat="1" ht="33" customHeight="1" x14ac:dyDescent="0.2">
      <c r="B35" s="1588"/>
      <c r="C35" s="147">
        <f>'Jrnl Rev'!AP$6</f>
        <v>4440</v>
      </c>
      <c r="D35" s="1589"/>
      <c r="E35" s="501" t="str">
        <f>+'Jrnl Rev'!AP8</f>
        <v>Bottle Drive
Revenue</v>
      </c>
      <c r="F35" s="540">
        <f>IF($K$1=2,'Jrnl Rev'!AP$13,'Jrnl Rev'!AP$14)</f>
        <v>0</v>
      </c>
      <c r="G35" s="1589"/>
      <c r="H35" s="202"/>
      <c r="I35" s="1207">
        <f>'Jrnl Rev'!AP516</f>
        <v>0</v>
      </c>
      <c r="J35" s="1215">
        <f t="shared" si="0"/>
        <v>0</v>
      </c>
      <c r="L35" s="21"/>
    </row>
    <row r="36" spans="2:14" s="12" customFormat="1" ht="33" customHeight="1" x14ac:dyDescent="0.2">
      <c r="B36" s="1588"/>
      <c r="C36" s="147">
        <f>'Jrnl Rev'!AQ$6</f>
        <v>4450</v>
      </c>
      <c r="D36" s="1589"/>
      <c r="E36" s="501" t="str">
        <f>+'Jrnl Rev'!AQ8</f>
        <v>Disponible ~ Available</v>
      </c>
      <c r="F36" s="540">
        <f>IF($K$1=2,'Jrnl Rev'!AQ$13,'Jrnl Rev'!AQ$14)</f>
        <v>0</v>
      </c>
      <c r="G36" s="1589"/>
      <c r="H36" s="202"/>
      <c r="I36" s="1207">
        <f>'Jrnl Rev'!AQ516</f>
        <v>0</v>
      </c>
      <c r="J36" s="1215">
        <f t="shared" si="0"/>
        <v>0</v>
      </c>
      <c r="L36" s="21"/>
    </row>
    <row r="37" spans="2:14" s="12" customFormat="1" ht="33" customHeight="1" x14ac:dyDescent="0.2">
      <c r="B37" s="1588"/>
      <c r="C37" s="147">
        <f>'Jrnl Rev'!AR$6</f>
        <v>4460</v>
      </c>
      <c r="D37" s="1589"/>
      <c r="E37" s="501" t="str">
        <f>+'Jrnl Rev'!AR8</f>
        <v>Disponible ~ Available</v>
      </c>
      <c r="F37" s="540">
        <f>IF($K$1=2,'Jrnl Rev'!AR$13,'Jrnl Rev'!AR$14)</f>
        <v>0</v>
      </c>
      <c r="G37" s="1589"/>
      <c r="H37" s="202"/>
      <c r="I37" s="1207">
        <f>'Jrnl Rev'!AR516</f>
        <v>0</v>
      </c>
      <c r="J37" s="1215">
        <f t="shared" si="0"/>
        <v>0</v>
      </c>
      <c r="L37" s="21"/>
    </row>
    <row r="38" spans="2:14" s="12" customFormat="1" ht="33" customHeight="1" x14ac:dyDescent="0.2">
      <c r="B38" s="1588"/>
      <c r="C38" s="147">
        <f>'Jrnl Rev'!AS$6</f>
        <v>4470</v>
      </c>
      <c r="D38" s="1589"/>
      <c r="E38" s="501" t="str">
        <f>+'Jrnl Rev'!AS$8</f>
        <v>Disponible ~ Available</v>
      </c>
      <c r="F38" s="540">
        <f>IF($K$1=2,'Jrnl Rev'!AS$13,'Jrnl Rev'!AS$14)</f>
        <v>0</v>
      </c>
      <c r="G38" s="1589"/>
      <c r="H38" s="202"/>
      <c r="I38" s="1207">
        <f>'Jrnl Rev'!AS$516</f>
        <v>0</v>
      </c>
      <c r="J38" s="1215">
        <f t="shared" si="0"/>
        <v>0</v>
      </c>
      <c r="L38" s="21"/>
    </row>
    <row r="39" spans="2:14" s="12" customFormat="1" ht="33" customHeight="1" x14ac:dyDescent="0.2">
      <c r="B39" s="1588"/>
      <c r="C39" s="147">
        <f>'Jrnl Rev'!AT$6</f>
        <v>4480</v>
      </c>
      <c r="D39" s="1589"/>
      <c r="E39" s="501" t="str">
        <f>+'Jrnl Rev'!AT$8</f>
        <v>Disponible ~ Available</v>
      </c>
      <c r="F39" s="540">
        <f>IF($K$1=2,'Jrnl Rev'!AT$13,'Jrnl Rev'!AT$14)</f>
        <v>0</v>
      </c>
      <c r="G39" s="1589"/>
      <c r="H39" s="202"/>
      <c r="I39" s="1207">
        <f>'Jrnl Rev'!AT$516</f>
        <v>0</v>
      </c>
      <c r="J39" s="1215">
        <f t="shared" si="0"/>
        <v>0</v>
      </c>
      <c r="L39" s="21"/>
      <c r="N39" s="12" t="s">
        <v>92</v>
      </c>
    </row>
    <row r="40" spans="2:14" s="12" customFormat="1" ht="33" customHeight="1" x14ac:dyDescent="0.2">
      <c r="B40" s="1588"/>
      <c r="C40" s="541">
        <f>'Jrnl Rev'!AU$6</f>
        <v>4490</v>
      </c>
      <c r="D40" s="1589"/>
      <c r="E40" s="542" t="str">
        <f>+'Jrnl Rev'!AU$8</f>
        <v>Disponible ~ Available</v>
      </c>
      <c r="F40" s="538">
        <f>IF($K$1=2,'Jrnl Rev'!AU$13,'Jrnl Rev'!AU$14)</f>
        <v>0</v>
      </c>
      <c r="G40" s="1589"/>
      <c r="H40" s="203"/>
      <c r="I40" s="1206">
        <f>'Jrnl Rev'!AU$516</f>
        <v>0</v>
      </c>
      <c r="J40" s="1216">
        <f t="shared" si="0"/>
        <v>0</v>
      </c>
      <c r="L40" s="21"/>
    </row>
    <row r="41" spans="2:14" s="12" customFormat="1" ht="33" customHeight="1" x14ac:dyDescent="0.2">
      <c r="B41" s="1588" t="str">
        <f>CONCATENATE('Jrnl Rev'!AV4," - ",'Jrnl Rev'!AV5)</f>
        <v>4600 - Misc Revenues (Other than Gov't)</v>
      </c>
      <c r="C41" s="522">
        <f>'Jrnl Rev'!AV$6</f>
        <v>4610</v>
      </c>
      <c r="D41" s="1589"/>
      <c r="E41" s="523" t="str">
        <f>+'Jrnl Rev'!AV8</f>
        <v>Money Collected for Activities</v>
      </c>
      <c r="F41" s="524" t="str">
        <f>IF(K1=2,"montant reçu des cadets pour une activité spécifique","Received from cadets for a specific activity")</f>
        <v>Received from cadets for a specific activity</v>
      </c>
      <c r="G41" s="1589"/>
      <c r="H41" s="200"/>
      <c r="I41" s="1204">
        <f>'Jrnl Rev'!AV516</f>
        <v>0</v>
      </c>
      <c r="J41" s="1213">
        <f t="shared" si="0"/>
        <v>0</v>
      </c>
      <c r="L41" s="21"/>
    </row>
    <row r="42" spans="2:14" s="12" customFormat="1" ht="33" customHeight="1" x14ac:dyDescent="0.2">
      <c r="B42" s="1588"/>
      <c r="C42" s="147">
        <f>'Jrnl Rev'!AW$6</f>
        <v>4620</v>
      </c>
      <c r="D42" s="1589"/>
      <c r="E42" s="501" t="str">
        <f>+'Jrnl Rev'!AW8</f>
        <v>Refunds</v>
      </c>
      <c r="F42" s="540" t="str">
        <f>IF(K1=2,"Si le remboursement n'est pas relié à une activité en particulier","If the reimbursement is not related to a specific activity")</f>
        <v>If the reimbursement is not related to a specific activity</v>
      </c>
      <c r="G42" s="1589"/>
      <c r="H42" s="202"/>
      <c r="I42" s="1207">
        <f>'Jrnl Rev'!AW516</f>
        <v>0</v>
      </c>
      <c r="J42" s="1215">
        <f t="shared" si="0"/>
        <v>0</v>
      </c>
      <c r="L42" s="21"/>
    </row>
    <row r="43" spans="2:14" s="12" customFormat="1" ht="33" customHeight="1" x14ac:dyDescent="0.2">
      <c r="B43" s="1588"/>
      <c r="C43" s="147">
        <f>'Jrnl Rev'!AX$6</f>
        <v>4630</v>
      </c>
      <c r="D43" s="1589"/>
      <c r="E43" s="501" t="str">
        <f>+'Jrnl Rev'!AX8</f>
        <v>Canteen Proceeds</v>
      </c>
      <c r="F43" s="540"/>
      <c r="G43" s="1589"/>
      <c r="H43" s="202"/>
      <c r="I43" s="1207">
        <f>'Jrnl Rev'!AX516</f>
        <v>0</v>
      </c>
      <c r="J43" s="1215">
        <f t="shared" si="0"/>
        <v>0</v>
      </c>
      <c r="L43" s="21"/>
    </row>
    <row r="44" spans="2:14" s="12" customFormat="1" ht="33" customHeight="1" x14ac:dyDescent="0.2">
      <c r="B44" s="1588"/>
      <c r="C44" s="147">
        <f>'Jrnl Rev'!AY$6</f>
        <v>4640</v>
      </c>
      <c r="D44" s="1589"/>
      <c r="E44" s="501" t="str">
        <f>+'Jrnl Rev'!AY8</f>
        <v>Bank &amp; Investments Interest/Income</v>
      </c>
      <c r="F44" s="540"/>
      <c r="G44" s="1589"/>
      <c r="H44" s="202"/>
      <c r="I44" s="1207">
        <f>'Jrnl Rev'!AY516</f>
        <v>0</v>
      </c>
      <c r="J44" s="1215">
        <f t="shared" si="0"/>
        <v>0</v>
      </c>
      <c r="L44" s="21"/>
    </row>
    <row r="45" spans="2:14" s="12" customFormat="1" ht="33" customHeight="1" x14ac:dyDescent="0.2">
      <c r="B45" s="1588"/>
      <c r="C45" s="147">
        <f>'Jrnl Rev'!AZ$6</f>
        <v>4650</v>
      </c>
      <c r="D45" s="1589"/>
      <c r="E45" s="501" t="str">
        <f>+'Jrnl Rev'!AZ8</f>
        <v>Misc Revenue</v>
      </c>
      <c r="F45" s="540"/>
      <c r="G45" s="1589"/>
      <c r="H45" s="202"/>
      <c r="I45" s="1207">
        <f>'Jrnl Rev'!AZ516</f>
        <v>0</v>
      </c>
      <c r="J45" s="1215">
        <f t="shared" si="0"/>
        <v>0</v>
      </c>
      <c r="L45" s="21"/>
    </row>
    <row r="46" spans="2:14" s="12" customFormat="1" ht="33" customHeight="1" x14ac:dyDescent="0.2">
      <c r="B46" s="1588"/>
      <c r="C46" s="147">
        <f>'Jrnl Rev'!BA$6</f>
        <v>4660</v>
      </c>
      <c r="D46" s="1589"/>
      <c r="E46" s="501" t="str">
        <f>+'Jrnl Rev'!BA8</f>
        <v>Sale of 
Sqn
Logo Items</v>
      </c>
      <c r="F46" s="540"/>
      <c r="G46" s="1589"/>
      <c r="H46" s="202"/>
      <c r="I46" s="1207">
        <f>'Jrnl Rev'!BA516</f>
        <v>0</v>
      </c>
      <c r="J46" s="1215">
        <f t="shared" si="0"/>
        <v>0</v>
      </c>
      <c r="L46" s="21"/>
    </row>
    <row r="47" spans="2:14" s="12" customFormat="1" ht="33" customHeight="1" x14ac:dyDescent="0.2">
      <c r="B47" s="1588"/>
      <c r="C47" s="147">
        <f>'Jrnl Rev'!BB$6</f>
        <v>4670</v>
      </c>
      <c r="D47" s="1589"/>
      <c r="E47" s="501" t="str">
        <f>+'Jrnl Rev'!BB8</f>
        <v>Assessments</v>
      </c>
      <c r="F47" s="540">
        <f>IF($K$1=2,'Jrnl Rev'!BB$13,'Jrnl Rev'!BB$14)</f>
        <v>0</v>
      </c>
      <c r="G47" s="1589"/>
      <c r="H47" s="202"/>
      <c r="I47" s="1207">
        <f>'Jrnl Rev'!BB516</f>
        <v>0</v>
      </c>
      <c r="J47" s="1215">
        <f t="shared" si="0"/>
        <v>0</v>
      </c>
      <c r="L47" s="21"/>
    </row>
    <row r="48" spans="2:14" s="12" customFormat="1" ht="33" customHeight="1" x14ac:dyDescent="0.2">
      <c r="B48" s="1588"/>
      <c r="C48" s="147">
        <f>'Jrnl Rev'!BC$6</f>
        <v>4680</v>
      </c>
      <c r="D48" s="1589"/>
      <c r="E48" s="501" t="str">
        <f>+'Jrnl Rev'!BC8</f>
        <v>Rental
Revenue</v>
      </c>
      <c r="F48" s="540">
        <f>IF($K$1=2,'Jrnl Rev'!BC$13,'Jrnl Rev'!BC$14)</f>
        <v>0</v>
      </c>
      <c r="G48" s="1589"/>
      <c r="H48" s="202"/>
      <c r="I48" s="1207">
        <f>'Jrnl Rev'!BC516</f>
        <v>0</v>
      </c>
      <c r="J48" s="1215">
        <f t="shared" si="0"/>
        <v>0</v>
      </c>
      <c r="L48" s="21"/>
    </row>
    <row r="49" spans="2:12" s="12" customFormat="1" ht="33" customHeight="1" x14ac:dyDescent="0.2">
      <c r="B49" s="1588"/>
      <c r="C49" s="541">
        <f>'Jrnl Rev'!BD$6</f>
        <v>4690</v>
      </c>
      <c r="D49" s="1589"/>
      <c r="E49" s="542" t="str">
        <f>+'Jrnl Rev'!BD8</f>
        <v>Disponible ~ Available</v>
      </c>
      <c r="F49" s="538">
        <f>IF($K$1=2,'Jrnl Rev'!BD$13,'Jrnl Rev'!BD$14)</f>
        <v>0</v>
      </c>
      <c r="G49" s="1589"/>
      <c r="H49" s="203"/>
      <c r="I49" s="1207">
        <f>'Jrnl Rev'!BD516</f>
        <v>0</v>
      </c>
      <c r="J49" s="1215">
        <f t="shared" si="0"/>
        <v>0</v>
      </c>
      <c r="L49" s="21"/>
    </row>
    <row r="50" spans="2:12" s="12" customFormat="1" ht="33" customHeight="1" x14ac:dyDescent="0.2">
      <c r="B50" s="1588" t="str">
        <f>CONCATENATE('Jrnl Rev'!BE4," - ",'Jrnl Rev'!BE5)</f>
        <v>4800 - Funding &amp; Recoveries (Gov't)</v>
      </c>
      <c r="C50" s="522">
        <f>'Jrnl Rev'!BE$6</f>
        <v>4810</v>
      </c>
      <c r="D50" s="1589"/>
      <c r="E50" s="523" t="str">
        <f>+'Jrnl Rev'!BE$8</f>
        <v>DND Local Support Allocation (LSA)</v>
      </c>
      <c r="F50" s="524">
        <f>IF($K$1=2,'Jrnl Rev'!BE$13,'Jrnl Rev'!BE$14)</f>
        <v>0</v>
      </c>
      <c r="G50" s="1589"/>
      <c r="H50" s="200"/>
      <c r="I50" s="1204">
        <f>'Jrnl Rev'!BE$516</f>
        <v>0</v>
      </c>
      <c r="J50" s="1213">
        <f t="shared" si="0"/>
        <v>0</v>
      </c>
      <c r="L50" s="21"/>
    </row>
    <row r="51" spans="2:12" s="12" customFormat="1" ht="33" customHeight="1" x14ac:dyDescent="0.2">
      <c r="B51" s="1588"/>
      <c r="C51" s="147">
        <f>'Jrnl Rev'!BF$6</f>
        <v>4820</v>
      </c>
      <c r="D51" s="1589"/>
      <c r="E51" s="501" t="str">
        <f>+'Jrnl Rev'!BF$8</f>
        <v>DND Allocation - Mandatory and Complementary Pgm (MCP)</v>
      </c>
      <c r="F51" s="540">
        <f>IF($K$1=2,'Jrnl Rev'!BF$13,'Jrnl Rev'!BF$14)</f>
        <v>0</v>
      </c>
      <c r="G51" s="1589"/>
      <c r="H51" s="202"/>
      <c r="I51" s="1207">
        <f>'Jrnl Rev'!BF$516</f>
        <v>0</v>
      </c>
      <c r="J51" s="1215">
        <f t="shared" si="0"/>
        <v>0</v>
      </c>
      <c r="L51" s="21"/>
    </row>
    <row r="52" spans="2:12" s="12" customFormat="1" ht="33" customHeight="1" x14ac:dyDescent="0.2">
      <c r="B52" s="1588"/>
      <c r="C52" s="147">
        <f>'Jrnl Rev'!BG$6</f>
        <v>4830</v>
      </c>
      <c r="D52" s="1589"/>
      <c r="E52" s="501" t="str">
        <f>+'Jrnl Rev'!BG$8</f>
        <v>Federal Portion - Tax Rebate</v>
      </c>
      <c r="F52" s="540" t="str">
        <f>IF(K1=2,"Seulement si l'escadrons a un statut d'organisme de bienfaisance","Only for squadrons with a Charity status")</f>
        <v>Only for squadrons with a Charity status</v>
      </c>
      <c r="G52" s="1589"/>
      <c r="H52" s="202"/>
      <c r="I52" s="1207">
        <f>'Jrnl Rev'!BG516</f>
        <v>0</v>
      </c>
      <c r="J52" s="1215">
        <f t="shared" si="0"/>
        <v>0</v>
      </c>
      <c r="L52" s="21"/>
    </row>
    <row r="53" spans="2:12" s="12" customFormat="1" ht="33" customHeight="1" x14ac:dyDescent="0.2">
      <c r="B53" s="1588"/>
      <c r="C53" s="147">
        <f>'Jrnl Rev'!BH$6</f>
        <v>4835</v>
      </c>
      <c r="D53" s="1589"/>
      <c r="E53" s="501" t="str">
        <f>+'Jrnl Rev'!BH$8</f>
        <v>Disponible ~ Available</v>
      </c>
      <c r="F53" s="540"/>
      <c r="G53" s="1589"/>
      <c r="H53" s="202"/>
      <c r="I53" s="1207">
        <f>'Jrnl Rev'!BH516</f>
        <v>0</v>
      </c>
      <c r="J53" s="1215">
        <f t="shared" si="0"/>
        <v>0</v>
      </c>
      <c r="L53" s="21"/>
    </row>
    <row r="54" spans="2:12" s="12" customFormat="1" ht="33" customHeight="1" x14ac:dyDescent="0.2">
      <c r="B54" s="1588"/>
      <c r="C54" s="147">
        <f>'Jrnl Rev'!BI$6</f>
        <v>4840</v>
      </c>
      <c r="D54" s="1589"/>
      <c r="E54" s="501" t="str">
        <f>+'Jrnl Rev'!BI8</f>
        <v>Governmental Grants - Provincial</v>
      </c>
      <c r="F54" s="540"/>
      <c r="G54" s="1589"/>
      <c r="H54" s="202"/>
      <c r="I54" s="1207">
        <f>'Jrnl Rev'!BI$516</f>
        <v>0</v>
      </c>
      <c r="J54" s="1215">
        <f t="shared" si="0"/>
        <v>0</v>
      </c>
      <c r="L54" s="21"/>
    </row>
    <row r="55" spans="2:12" s="12" customFormat="1" ht="33" customHeight="1" x14ac:dyDescent="0.2">
      <c r="B55" s="1588"/>
      <c r="C55" s="147">
        <f>'Jrnl Rev'!BJ6</f>
        <v>4850</v>
      </c>
      <c r="D55" s="1589"/>
      <c r="E55" s="501" t="str">
        <f>+'Jrnl Rev'!BJ8</f>
        <v>Provincial Portion - Tax Rebate</v>
      </c>
      <c r="F55" s="540" t="str">
        <f>IF(K1=2,"Seulement si l'escadrons a un statut d'organisme de bienfaisance","Only for squadrons with a Charity status")</f>
        <v>Only for squadrons with a Charity status</v>
      </c>
      <c r="G55" s="1589"/>
      <c r="H55" s="202"/>
      <c r="I55" s="1207">
        <f>'Jrnl Rev'!BJ$516</f>
        <v>0</v>
      </c>
      <c r="J55" s="1215">
        <f t="shared" si="0"/>
        <v>0</v>
      </c>
      <c r="L55" s="21"/>
    </row>
    <row r="56" spans="2:12" s="12" customFormat="1" ht="33" customHeight="1" x14ac:dyDescent="0.2">
      <c r="B56" s="1588"/>
      <c r="C56" s="147">
        <f>'Jrnl Rev'!BK6</f>
        <v>4860</v>
      </c>
      <c r="D56" s="1589"/>
      <c r="E56" s="501" t="str">
        <f>+'Jrnl Rev'!BK8</f>
        <v>Disponible ~ Available</v>
      </c>
      <c r="F56" s="540">
        <f>IF($K$1=2,'Jrnl Rev'!BK$13,'Jrnl Rev'!BK$14)</f>
        <v>0</v>
      </c>
      <c r="G56" s="1589"/>
      <c r="H56" s="202"/>
      <c r="I56" s="1207">
        <f>'Jrnl Rev'!BK$516</f>
        <v>0</v>
      </c>
      <c r="J56" s="1215">
        <f t="shared" si="0"/>
        <v>0</v>
      </c>
      <c r="L56" s="21"/>
    </row>
    <row r="57" spans="2:12" s="12" customFormat="1" ht="33" customHeight="1" x14ac:dyDescent="0.2">
      <c r="B57" s="1588"/>
      <c r="C57" s="147">
        <f>'Jrnl Rev'!BL6</f>
        <v>4870</v>
      </c>
      <c r="D57" s="1589"/>
      <c r="E57" s="501" t="str">
        <f>+'Jrnl Rev'!BL8</f>
        <v>Governmental Grants - Regional/
Municipal</v>
      </c>
      <c r="F57" s="540">
        <f>IF($K$1=2,'Jrnl Rev'!BL$13,'Jrnl Rev'!BL$14)</f>
        <v>0</v>
      </c>
      <c r="G57" s="1589"/>
      <c r="H57" s="202"/>
      <c r="I57" s="1207">
        <f>'Jrnl Rev'!BL$516</f>
        <v>0</v>
      </c>
      <c r="J57" s="1215">
        <f t="shared" si="0"/>
        <v>0</v>
      </c>
      <c r="L57" s="21"/>
    </row>
    <row r="58" spans="2:12" s="12" customFormat="1" ht="33" customHeight="1" x14ac:dyDescent="0.2">
      <c r="B58" s="1588"/>
      <c r="C58" s="147">
        <f>'Jrnl Rev'!BM$6</f>
        <v>4880</v>
      </c>
      <c r="D58" s="1589"/>
      <c r="E58" s="501" t="str">
        <f>+'Jrnl Rev'!BM8</f>
        <v>Disponible ~ Available</v>
      </c>
      <c r="F58" s="540">
        <f>IF($K$1=2,'Jrnl Rev'!BM$13,'Jrnl Rev'!BM$14)</f>
        <v>0</v>
      </c>
      <c r="G58" s="1589"/>
      <c r="H58" s="202"/>
      <c r="I58" s="1207">
        <f>'Jrnl Rev'!BM$516</f>
        <v>0</v>
      </c>
      <c r="J58" s="1215">
        <f t="shared" si="0"/>
        <v>0</v>
      </c>
      <c r="L58" s="21"/>
    </row>
    <row r="59" spans="2:12" s="12" customFormat="1" ht="33" customHeight="1" x14ac:dyDescent="0.2">
      <c r="B59" s="1588"/>
      <c r="C59" s="541">
        <f>'Jrnl Rev'!BN$6</f>
        <v>4890</v>
      </c>
      <c r="D59" s="1589"/>
      <c r="E59" s="542" t="str">
        <f>+'Jrnl Rev'!BN8</f>
        <v>Disponible ~ Available</v>
      </c>
      <c r="F59" s="538">
        <f>IF($K$1=2,'Jrnl Rev'!BN$13,'Jrnl Rev'!BN$14)</f>
        <v>0</v>
      </c>
      <c r="G59" s="1589"/>
      <c r="H59" s="203"/>
      <c r="I59" s="1206">
        <f>'Jrnl Rev'!BN$516</f>
        <v>0</v>
      </c>
      <c r="J59" s="1216">
        <f t="shared" si="0"/>
        <v>0</v>
      </c>
      <c r="L59" s="21"/>
    </row>
    <row r="60" spans="2:12" s="12" customFormat="1" ht="10.5" customHeight="1" x14ac:dyDescent="0.2">
      <c r="H60" s="543"/>
      <c r="I60" s="543"/>
      <c r="J60" s="543"/>
      <c r="L60" s="21"/>
    </row>
    <row r="61" spans="2:12" s="12" customFormat="1" ht="18.75" customHeight="1" x14ac:dyDescent="0.2">
      <c r="B61" s="25"/>
      <c r="C61" s="19"/>
      <c r="D61" s="19"/>
      <c r="E61" s="1602" t="str">
        <f>IF(K1=2,"Sous-Total","Sub-Total")</f>
        <v>Sub-Total</v>
      </c>
      <c r="F61" s="1602"/>
      <c r="G61" s="1602"/>
      <c r="H61" s="546">
        <f>SUM(H10:H12,H17:H59)</f>
        <v>0</v>
      </c>
      <c r="I61" s="546">
        <f>SUM(I10:I12,I17:I59)</f>
        <v>0</v>
      </c>
      <c r="J61" s="547">
        <f>IF($I61=0,0,$H61-$I61)</f>
        <v>0</v>
      </c>
      <c r="L61" s="21"/>
    </row>
    <row r="62" spans="2:12" s="12" customFormat="1" ht="9.75" customHeight="1" x14ac:dyDescent="0.2">
      <c r="B62" s="25"/>
      <c r="C62" s="19"/>
      <c r="D62" s="19"/>
      <c r="E62" s="548"/>
      <c r="F62" s="548"/>
      <c r="G62" s="548"/>
      <c r="H62" s="549"/>
      <c r="I62" s="549"/>
      <c r="J62" s="549"/>
      <c r="L62" s="21"/>
    </row>
    <row r="63" spans="2:12" s="12" customFormat="1" ht="24" customHeight="1" thickBot="1" x14ac:dyDescent="0.25">
      <c r="B63" s="1600" t="str">
        <f>IF(K1=2,"Dépenses","Expense Items")</f>
        <v>Expense Items</v>
      </c>
      <c r="C63" s="1600"/>
      <c r="D63" s="1600"/>
      <c r="E63" s="1600"/>
      <c r="F63" s="1600"/>
      <c r="G63" s="1600"/>
      <c r="H63" s="1600"/>
      <c r="I63" s="1600"/>
      <c r="J63" s="1601"/>
      <c r="L63" s="21"/>
    </row>
    <row r="64" spans="2:12" s="12" customFormat="1" ht="33" customHeight="1" thickTop="1" thickBot="1" x14ac:dyDescent="0.25">
      <c r="B64" s="1603" t="str">
        <f>CONCATENATE('Jrnl Exp ~ Dép'!P4," - ",'Jrnl Exp ~ Dép'!P5)</f>
        <v>5000 - Administrative &amp; Operating Expenses</v>
      </c>
      <c r="C64" s="522">
        <f>'Jrnl Exp ~ Dép'!P$6</f>
        <v>5010</v>
      </c>
      <c r="D64" s="1589"/>
      <c r="E64" s="523" t="str">
        <f>+'Jrnl Exp ~ Dép'!P8</f>
        <v>Admin. &amp; Office supplies</v>
      </c>
      <c r="F64" s="524" t="str">
        <f>IF(K1=2,"Photocopie, Encre, Papeterie","Photocopies, Paper, Toner, Stationary")</f>
        <v>Photocopies, Paper, Toner, Stationary</v>
      </c>
      <c r="G64" s="1589"/>
      <c r="H64" s="200"/>
      <c r="I64" s="1204">
        <f>'Jrnl Exp ~ Dép'!P$516</f>
        <v>0</v>
      </c>
      <c r="J64" s="1213">
        <f t="shared" ref="J64:J90" si="1">IF($I64=0,0,$H64-$I64)</f>
        <v>0</v>
      </c>
      <c r="L64" s="21"/>
    </row>
    <row r="65" spans="2:12" s="12" customFormat="1" ht="33" customHeight="1" thickTop="1" thickBot="1" x14ac:dyDescent="0.25">
      <c r="B65" s="1604"/>
      <c r="C65" s="147">
        <f>'Jrnl Exp ~ Dép'!Q$6</f>
        <v>5020</v>
      </c>
      <c r="D65" s="1589"/>
      <c r="E65" s="501" t="str">
        <f>+'Jrnl Exp ~ Dép'!Q8</f>
        <v>Office Equipment</v>
      </c>
      <c r="F65" s="535" t="str">
        <f>IF(K1=2,"Ordinateurs portables, Imprimantes, Classeurs, Bureaux et chaises","Laptops, Printers, Software, Filing Cabinets, Desk, chairs")</f>
        <v>Laptops, Printers, Software, Filing Cabinets, Desk, chairs</v>
      </c>
      <c r="G65" s="1589"/>
      <c r="H65" s="202"/>
      <c r="I65" s="1207">
        <f>'Jrnl Exp ~ Dép'!Q$516</f>
        <v>0</v>
      </c>
      <c r="J65" s="1215">
        <f t="shared" si="1"/>
        <v>0</v>
      </c>
      <c r="L65" s="21"/>
    </row>
    <row r="66" spans="2:12" s="12" customFormat="1" ht="33" customHeight="1" thickTop="1" thickBot="1" x14ac:dyDescent="0.25">
      <c r="B66" s="1604"/>
      <c r="C66" s="147">
        <f>'Jrnl Exp ~ Dép'!R$6</f>
        <v>5030</v>
      </c>
      <c r="D66" s="1589"/>
      <c r="E66" s="501" t="str">
        <f>+'Jrnl Exp ~ Dép'!R8</f>
        <v>Sqn Quarters Rental</v>
      </c>
      <c r="F66" s="535" t="str">
        <f>IF(K1=2,"Coûts annuels: Location école, entrepôt","Annual Costs: school rental, storage")</f>
        <v>Annual Costs: school rental, storage</v>
      </c>
      <c r="G66" s="1589"/>
      <c r="H66" s="202"/>
      <c r="I66" s="1207">
        <f>'Jrnl Exp ~ Dép'!R$516</f>
        <v>0</v>
      </c>
      <c r="J66" s="1215">
        <f t="shared" si="1"/>
        <v>0</v>
      </c>
      <c r="L66" s="21"/>
    </row>
    <row r="67" spans="2:12" s="12" customFormat="1" ht="33" customHeight="1" thickTop="1" thickBot="1" x14ac:dyDescent="0.25">
      <c r="B67" s="1604"/>
      <c r="C67" s="147">
        <f>'Jrnl Exp ~ Dép'!S$6</f>
        <v>5040</v>
      </c>
      <c r="D67" s="1589"/>
      <c r="E67" s="501" t="str">
        <f>+'Jrnl Exp ~ Dép'!S8</f>
        <v>Maintenance, repairs, expansion</v>
      </c>
      <c r="F67" s="535" t="str">
        <f>IF(K1=2,"Entretien, réparations, agrandissement","Maintenance, Expansion, Repairs")</f>
        <v>Maintenance, Expansion, Repairs</v>
      </c>
      <c r="G67" s="1589"/>
      <c r="H67" s="202"/>
      <c r="I67" s="1207">
        <f>'Jrnl Exp ~ Dép'!S$516</f>
        <v>0</v>
      </c>
      <c r="J67" s="1215">
        <f t="shared" si="1"/>
        <v>0</v>
      </c>
      <c r="L67" s="21"/>
    </row>
    <row r="68" spans="2:12" s="12" customFormat="1" ht="33" customHeight="1" thickTop="1" thickBot="1" x14ac:dyDescent="0.25">
      <c r="B68" s="1604"/>
      <c r="C68" s="147">
        <f>'Jrnl Exp ~ Dép'!T$6</f>
        <v>5050</v>
      </c>
      <c r="D68" s="1589"/>
      <c r="E68" s="501" t="str">
        <f>+'Jrnl Exp ~ Dép'!T$8</f>
        <v>Utilities,PO Box</v>
      </c>
      <c r="F68" s="535" t="str">
        <f>IF(K1=2,"Casier postal, Internet, Site web, Téléphone portable","PO Box, Internet, Website, Cell")</f>
        <v>PO Box, Internet, Website, Cell</v>
      </c>
      <c r="G68" s="1589"/>
      <c r="H68" s="202"/>
      <c r="I68" s="1207">
        <f>'Jrnl Exp ~ Dép'!T$516</f>
        <v>0</v>
      </c>
      <c r="J68" s="1215">
        <f t="shared" si="1"/>
        <v>0</v>
      </c>
      <c r="L68" s="21"/>
    </row>
    <row r="69" spans="2:12" s="12" customFormat="1" ht="33" customHeight="1" thickTop="1" thickBot="1" x14ac:dyDescent="0.25">
      <c r="B69" s="1604"/>
      <c r="C69" s="147">
        <f>'Jrnl Exp ~ Dép'!U$6</f>
        <v>5060</v>
      </c>
      <c r="D69" s="1589"/>
      <c r="E69" s="501" t="str">
        <f>+'Jrnl Exp ~ Dép'!U$8</f>
        <v>Meeting costs</v>
      </c>
      <c r="F69" s="535" t="str">
        <f>IF(K1=2,"Participation du Cmdt, Président du CR, Cdt-Cmdt","Chair, Treasurer, CO and Cdt Comdr (or representatives)")</f>
        <v>Chair, Treasurer, CO and Cdt Comdr (or representatives)</v>
      </c>
      <c r="G69" s="1589"/>
      <c r="H69" s="202"/>
      <c r="I69" s="1207">
        <f>'Jrnl Exp ~ Dép'!U$516</f>
        <v>0</v>
      </c>
      <c r="J69" s="1215">
        <f t="shared" si="1"/>
        <v>0</v>
      </c>
      <c r="L69" s="21"/>
    </row>
    <row r="70" spans="2:12" s="12" customFormat="1" ht="33" customHeight="1" thickTop="1" thickBot="1" x14ac:dyDescent="0.25">
      <c r="B70" s="1604"/>
      <c r="C70" s="147">
        <f>'Jrnl Exp ~ Dép'!V$6</f>
        <v>5070</v>
      </c>
      <c r="D70" s="1589"/>
      <c r="E70" s="501" t="str">
        <f>+'Jrnl Exp ~ Dép'!V$8</f>
        <v>Committee staff Accoutrement and such</v>
      </c>
      <c r="F70" s="535"/>
      <c r="G70" s="1589"/>
      <c r="H70" s="202"/>
      <c r="I70" s="1207">
        <f>'Jrnl Exp ~ Dép'!V$516</f>
        <v>0</v>
      </c>
      <c r="J70" s="1215">
        <f t="shared" si="1"/>
        <v>0</v>
      </c>
      <c r="L70" s="21"/>
    </row>
    <row r="71" spans="2:12" s="12" customFormat="1" ht="33" customHeight="1" thickTop="1" thickBot="1" x14ac:dyDescent="0.25">
      <c r="B71" s="1604"/>
      <c r="C71" s="147">
        <f>'Jrnl Exp ~ Dép'!W$6</f>
        <v>5080</v>
      </c>
      <c r="D71" s="1589"/>
      <c r="E71" s="501" t="str">
        <f>+'Jrnl Exp ~ Dép'!W$8</f>
        <v>Advertising &amp; Recruiting</v>
      </c>
      <c r="F71" s="535" t="str">
        <f>IF(K1=2,"Publicité, Journaux, Aide-mémoire pour parents, Portes ouvertes","P.R., Image, Handbook, Advertising,  Newspaper Ads, Open door, awards, etc.")</f>
        <v>P.R., Image, Handbook, Advertising,  Newspaper Ads, Open door, awards, etc.</v>
      </c>
      <c r="G71" s="1589"/>
      <c r="H71" s="202"/>
      <c r="I71" s="1207">
        <f>'Jrnl Exp ~ Dép'!W$516</f>
        <v>0</v>
      </c>
      <c r="J71" s="1215">
        <f t="shared" si="1"/>
        <v>0</v>
      </c>
      <c r="L71" s="21"/>
    </row>
    <row r="72" spans="2:12" s="12" customFormat="1" ht="33" customHeight="1" thickTop="1" thickBot="1" x14ac:dyDescent="0.25">
      <c r="B72" s="1604"/>
      <c r="C72" s="147">
        <f>'Jrnl Exp ~ Dép'!X$6</f>
        <v>5090</v>
      </c>
      <c r="D72" s="1589"/>
      <c r="E72" s="501" t="str">
        <f>+'Jrnl Exp ~ Dép'!X$8</f>
        <v>Annual Provincial Committee Assessment</v>
      </c>
      <c r="F72" s="535" t="str">
        <f>IF(K1=2,"Basé sur le quota au 31 mars de l'AF précédente","Based on the quota as of 31 March of previous FY")</f>
        <v>Based on the quota as of 31 March of previous FY</v>
      </c>
      <c r="G72" s="1589"/>
      <c r="H72" s="202"/>
      <c r="I72" s="1207">
        <f>'Jrnl Exp ~ Dép'!X$516</f>
        <v>0</v>
      </c>
      <c r="J72" s="1215">
        <f t="shared" si="1"/>
        <v>0</v>
      </c>
      <c r="L72" s="21"/>
    </row>
    <row r="73" spans="2:12" s="12" customFormat="1" ht="33" customHeight="1" thickTop="1" thickBot="1" x14ac:dyDescent="0.25">
      <c r="B73" s="1604"/>
      <c r="C73" s="147">
        <f>'Jrnl Exp ~ Dép'!Y$6</f>
        <v>5100</v>
      </c>
      <c r="D73" s="1589"/>
      <c r="E73" s="501" t="str">
        <f>+'Jrnl Exp ~ Dép'!Y$8</f>
        <v>Air Group, Air Wing Dues and such</v>
      </c>
      <c r="F73" s="535" t="str">
        <f>IF(K1=2,"Cotisation régionale","Regional Assessment")</f>
        <v>Regional Assessment</v>
      </c>
      <c r="G73" s="1589"/>
      <c r="H73" s="202"/>
      <c r="I73" s="1207">
        <f>'Jrnl Exp ~ Dép'!Y$516</f>
        <v>0</v>
      </c>
      <c r="J73" s="1215">
        <f t="shared" si="1"/>
        <v>0</v>
      </c>
      <c r="L73" s="21"/>
    </row>
    <row r="74" spans="2:12" s="12" customFormat="1" ht="33" customHeight="1" thickTop="1" thickBot="1" x14ac:dyDescent="0.25">
      <c r="B74" s="1604"/>
      <c r="C74" s="147">
        <f>'Jrnl Exp ~ Dép'!Z$6</f>
        <v>5110</v>
      </c>
      <c r="D74" s="1589"/>
      <c r="E74" s="501" t="str">
        <f>+'Jrnl Exp ~ Dép'!Z$8</f>
        <v>Financial &amp; Bank Charges</v>
      </c>
      <c r="F74" s="535" t="str">
        <f>IF(K1=2,"Frais bancaires mensuels, Chèques sans provisions, impression de chèques","Monthly Bank Fees, Cheques Printing, Investment Charges, Returned cheque fees")</f>
        <v>Monthly Bank Fees, Cheques Printing, Investment Charges, Returned cheque fees</v>
      </c>
      <c r="G74" s="1589"/>
      <c r="H74" s="202"/>
      <c r="I74" s="1207">
        <f>'Jrnl Exp ~ Dép'!Z$516</f>
        <v>0</v>
      </c>
      <c r="J74" s="1215">
        <f t="shared" si="1"/>
        <v>0</v>
      </c>
      <c r="L74" s="21"/>
    </row>
    <row r="75" spans="2:12" s="12" customFormat="1" ht="33" customHeight="1" thickTop="1" thickBot="1" x14ac:dyDescent="0.25">
      <c r="B75" s="1604"/>
      <c r="C75" s="147">
        <f>'Jrnl Exp ~ Dép'!AA$6</f>
        <v>5120</v>
      </c>
      <c r="D75" s="1589"/>
      <c r="E75" s="501" t="str">
        <f>+'Jrnl Exp ~ Dép'!AA$8</f>
        <v>Professional Services</v>
      </c>
      <c r="F75" s="540">
        <f>IF($K$1=2,'Jrnl Exp ~ Dép'!AA13,'Jrnl Exp ~ Dép'!AA14)</f>
        <v>0</v>
      </c>
      <c r="G75" s="1589"/>
      <c r="H75" s="202"/>
      <c r="I75" s="1207">
        <f>'Jrnl Exp ~ Dép'!AA$516</f>
        <v>0</v>
      </c>
      <c r="J75" s="1215">
        <f t="shared" si="1"/>
        <v>0</v>
      </c>
      <c r="L75" s="21"/>
    </row>
    <row r="76" spans="2:12" s="12" customFormat="1" ht="33" customHeight="1" thickTop="1" thickBot="1" x14ac:dyDescent="0.25">
      <c r="B76" s="1604"/>
      <c r="C76" s="147">
        <f>'Jrnl Exp ~ Dép'!AB$6</f>
        <v>5130</v>
      </c>
      <c r="D76" s="1589"/>
      <c r="E76" s="501" t="str">
        <f>+'Jrnl Exp ~ Dép'!AB$8</f>
        <v>Compensation for employees</v>
      </c>
      <c r="F76" s="540">
        <f>IF($K$1=2,'Jrnl Exp ~ Dép'!AB14,'Jrnl Exp ~ Dép'!AB16)</f>
        <v>0</v>
      </c>
      <c r="G76" s="1589"/>
      <c r="H76" s="202"/>
      <c r="I76" s="1207">
        <f>'Jrnl Exp ~ Dép'!AB$516</f>
        <v>0</v>
      </c>
      <c r="J76" s="1215">
        <f t="shared" si="1"/>
        <v>0</v>
      </c>
      <c r="L76" s="21"/>
    </row>
    <row r="77" spans="2:12" s="12" customFormat="1" ht="33" customHeight="1" thickTop="1" thickBot="1" x14ac:dyDescent="0.25">
      <c r="B77" s="1604"/>
      <c r="C77" s="147">
        <f>'Jrnl Exp ~ Dép'!AC$6</f>
        <v>5140</v>
      </c>
      <c r="D77" s="1589"/>
      <c r="E77" s="501" t="str">
        <f>+'Jrnl Exp ~ Dép'!AC$8</f>
        <v>Insurance for material and properties</v>
      </c>
      <c r="F77" s="540" t="str">
        <f>IF(K1=2,"Assurance du matériel du CR (par la Ligue ou non)","Insurance for SSC Material (through League or not)")</f>
        <v>Insurance for SSC Material (through League or not)</v>
      </c>
      <c r="G77" s="1589"/>
      <c r="H77" s="202"/>
      <c r="I77" s="1207">
        <f>'Jrnl Exp ~ Dép'!AC$516</f>
        <v>0</v>
      </c>
      <c r="J77" s="1215">
        <f t="shared" si="1"/>
        <v>0</v>
      </c>
      <c r="L77" s="21"/>
    </row>
    <row r="78" spans="2:12" s="12" customFormat="1" ht="33" customHeight="1" thickTop="1" thickBot="1" x14ac:dyDescent="0.25">
      <c r="B78" s="1604"/>
      <c r="C78" s="147">
        <f>'Jrnl Exp ~ Dép'!AD$6</f>
        <v>5150</v>
      </c>
      <c r="D78" s="1589"/>
      <c r="E78" s="501" t="str">
        <f>+'Jrnl Exp ~ Dép'!AD$8</f>
        <v>Travel Expenses</v>
      </c>
      <c r="F78" s="540">
        <f>IF($K$1=2,'Jrnl Exp ~ Dép'!AD17,'Jrnl Exp ~ Dép'!AD18)</f>
        <v>0</v>
      </c>
      <c r="G78" s="1589"/>
      <c r="H78" s="202"/>
      <c r="I78" s="1207">
        <f>'Jrnl Exp ~ Dép'!AD$516</f>
        <v>0</v>
      </c>
      <c r="J78" s="1215">
        <f t="shared" si="1"/>
        <v>0</v>
      </c>
      <c r="L78" s="21"/>
    </row>
    <row r="79" spans="2:12" s="12" customFormat="1" ht="33" customHeight="1" thickTop="1" thickBot="1" x14ac:dyDescent="0.25">
      <c r="B79" s="1604"/>
      <c r="C79" s="147">
        <f>'Jrnl Exp ~ Dép'!AE$6</f>
        <v>5160</v>
      </c>
      <c r="D79" s="1589"/>
      <c r="E79" s="501" t="str">
        <f>+'Jrnl Exp ~ Dép'!AE$8</f>
        <v>Postage/Shipping Costs</v>
      </c>
      <c r="F79" s="540">
        <f>IF($K$1=2,'Jrnl Exp ~ Dép'!AE18,'Jrnl Exp ~ Dép'!AE19)</f>
        <v>0</v>
      </c>
      <c r="G79" s="1589"/>
      <c r="H79" s="202"/>
      <c r="I79" s="1207">
        <f>'Jrnl Exp ~ Dép'!AE$516</f>
        <v>0</v>
      </c>
      <c r="J79" s="1215">
        <f t="shared" si="1"/>
        <v>0</v>
      </c>
      <c r="L79" s="21"/>
    </row>
    <row r="80" spans="2:12" s="12" customFormat="1" ht="33" customHeight="1" thickTop="1" thickBot="1" x14ac:dyDescent="0.25">
      <c r="B80" s="1604"/>
      <c r="C80" s="147">
        <f>'Jrnl Exp ~ Dép'!AF$6</f>
        <v>5170</v>
      </c>
      <c r="D80" s="1589"/>
      <c r="E80" s="501" t="str">
        <f>+'Jrnl Exp ~ Dép'!AF$8</f>
        <v>Facility Rental others than 5030</v>
      </c>
      <c r="F80" s="540">
        <f>IF($K$1=2,'Jrnl Exp ~ Dép'!AF19,'Jrnl Exp ~ Dép'!AF20)</f>
        <v>0</v>
      </c>
      <c r="G80" s="1589"/>
      <c r="H80" s="202"/>
      <c r="I80" s="1207">
        <f>'Jrnl Exp ~ Dép'!AF$516</f>
        <v>0</v>
      </c>
      <c r="J80" s="1215">
        <f t="shared" si="1"/>
        <v>0</v>
      </c>
      <c r="L80" s="21"/>
    </row>
    <row r="81" spans="2:12" s="12" customFormat="1" ht="33" customHeight="1" thickTop="1" thickBot="1" x14ac:dyDescent="0.25">
      <c r="B81" s="1604"/>
      <c r="C81" s="147">
        <f>'Jrnl Exp ~ Dép'!AG$6</f>
        <v>5180</v>
      </c>
      <c r="D81" s="1589"/>
      <c r="E81" s="501" t="str">
        <f>+'Jrnl Exp ~ Dép'!AG$8</f>
        <v>Storage
Rental
Expenses</v>
      </c>
      <c r="F81" s="540"/>
      <c r="G81" s="1589"/>
      <c r="H81" s="202"/>
      <c r="I81" s="1207">
        <f>'Jrnl Exp ~ Dép'!AG$516</f>
        <v>0</v>
      </c>
      <c r="J81" s="1215">
        <f t="shared" si="1"/>
        <v>0</v>
      </c>
      <c r="L81" s="21"/>
    </row>
    <row r="82" spans="2:12" s="12" customFormat="1" ht="33" customHeight="1" thickTop="1" thickBot="1" x14ac:dyDescent="0.25">
      <c r="B82" s="1604"/>
      <c r="C82" s="147">
        <f>'Jrnl Exp ~ Dép'!AH$6</f>
        <v>5185</v>
      </c>
      <c r="D82" s="1589"/>
      <c r="E82" s="501" t="str">
        <f>+'Jrnl Exp ~ Dép'!AH$8</f>
        <v>Disponible ~ Available</v>
      </c>
      <c r="F82" s="540"/>
      <c r="G82" s="1589"/>
      <c r="H82" s="202"/>
      <c r="I82" s="1207">
        <f>'Jrnl Exp ~ Dép'!AH$516</f>
        <v>0</v>
      </c>
      <c r="J82" s="1215">
        <f t="shared" si="1"/>
        <v>0</v>
      </c>
      <c r="L82" s="21"/>
    </row>
    <row r="83" spans="2:12" s="12" customFormat="1" ht="33" customHeight="1" thickTop="1" thickBot="1" x14ac:dyDescent="0.25">
      <c r="B83" s="1604"/>
      <c r="C83" s="147">
        <f>'Jrnl Exp ~ Dép'!AI$6</f>
        <v>5190</v>
      </c>
      <c r="D83" s="1589"/>
      <c r="E83" s="501" t="str">
        <f>+'Jrnl Exp ~ Dép'!AI$8</f>
        <v>Disponible ~ Available</v>
      </c>
      <c r="F83" s="540"/>
      <c r="G83" s="1589"/>
      <c r="H83" s="202"/>
      <c r="I83" s="1207">
        <f>'Jrnl Exp ~ Dép'!AI$516</f>
        <v>0</v>
      </c>
      <c r="J83" s="1215">
        <f t="shared" si="1"/>
        <v>0</v>
      </c>
      <c r="L83" s="21"/>
    </row>
    <row r="84" spans="2:12" s="12" customFormat="1" ht="33" customHeight="1" thickTop="1" thickBot="1" x14ac:dyDescent="0.25">
      <c r="B84" s="1604"/>
      <c r="C84" s="147">
        <f>'Jrnl Exp ~ Dép'!AJ$6</f>
        <v>5195</v>
      </c>
      <c r="D84" s="1589"/>
      <c r="E84" s="501" t="str">
        <f>+'Jrnl Exp ~ Dép'!AJ$8</f>
        <v>Disponible ~ Available</v>
      </c>
      <c r="F84" s="540"/>
      <c r="G84" s="1589"/>
      <c r="H84" s="202"/>
      <c r="I84" s="1207">
        <f>'Jrnl Exp ~ Dép'!AJ$516</f>
        <v>0</v>
      </c>
      <c r="J84" s="1215">
        <f t="shared" si="1"/>
        <v>0</v>
      </c>
      <c r="L84" s="21"/>
    </row>
    <row r="85" spans="2:12" s="12" customFormat="1" ht="33" customHeight="1" thickTop="1" thickBot="1" x14ac:dyDescent="0.25">
      <c r="B85" s="1604"/>
      <c r="C85" s="147">
        <f>'Jrnl Exp ~ Dép'!AK$6</f>
        <v>5200</v>
      </c>
      <c r="D85" s="1589"/>
      <c r="E85" s="501" t="str">
        <f>+'Jrnl Exp ~ Dép'!AK$8</f>
        <v>Disponible ~ Available</v>
      </c>
      <c r="F85" s="540"/>
      <c r="G85" s="1589"/>
      <c r="H85" s="202"/>
      <c r="I85" s="1207">
        <f>'Jrnl Exp ~ Dép'!AK$516</f>
        <v>0</v>
      </c>
      <c r="J85" s="1215">
        <f t="shared" si="1"/>
        <v>0</v>
      </c>
      <c r="L85" s="21"/>
    </row>
    <row r="86" spans="2:12" s="12" customFormat="1" ht="33" customHeight="1" thickTop="1" thickBot="1" x14ac:dyDescent="0.25">
      <c r="B86" s="1604"/>
      <c r="C86" s="147">
        <f>'Jrnl Exp ~ Dép'!AL$6</f>
        <v>5205</v>
      </c>
      <c r="D86" s="1589"/>
      <c r="E86" s="501" t="str">
        <f>+'Jrnl Exp ~ Dép'!AL$8</f>
        <v>Disponible ~ Available</v>
      </c>
      <c r="F86" s="540"/>
      <c r="G86" s="1589"/>
      <c r="H86" s="202"/>
      <c r="I86" s="1207">
        <f>'Jrnl Exp ~ Dép'!AL$516</f>
        <v>0</v>
      </c>
      <c r="J86" s="1215">
        <f t="shared" si="1"/>
        <v>0</v>
      </c>
      <c r="L86" s="21"/>
    </row>
    <row r="87" spans="2:12" s="12" customFormat="1" ht="33" customHeight="1" thickTop="1" thickBot="1" x14ac:dyDescent="0.25">
      <c r="B87" s="1604"/>
      <c r="C87" s="147">
        <f>'Jrnl Exp ~ Dép'!AM$6</f>
        <v>5210</v>
      </c>
      <c r="D87" s="1589"/>
      <c r="E87" s="501" t="str">
        <f>+'Jrnl Exp ~ Dép'!AM$8</f>
        <v>Disponible ~ Available</v>
      </c>
      <c r="F87" s="540"/>
      <c r="G87" s="1589"/>
      <c r="H87" s="202"/>
      <c r="I87" s="1207">
        <f>'Jrnl Exp ~ Dép'!AM$516</f>
        <v>0</v>
      </c>
      <c r="J87" s="1215">
        <f t="shared" si="1"/>
        <v>0</v>
      </c>
      <c r="L87" s="21"/>
    </row>
    <row r="88" spans="2:12" s="12" customFormat="1" ht="33" customHeight="1" thickTop="1" thickBot="1" x14ac:dyDescent="0.25">
      <c r="B88" s="1604"/>
      <c r="C88" s="147">
        <f>'Jrnl Exp ~ Dép'!AN$6</f>
        <v>5215</v>
      </c>
      <c r="D88" s="1589"/>
      <c r="E88" s="501" t="str">
        <f>+'Jrnl Exp ~ Dép'!AN$8</f>
        <v>Disponible ~ Available</v>
      </c>
      <c r="F88" s="540">
        <f>IF($K$1=2,'Jrnl Exp ~ Dép'!AG20,'Jrnl Exp ~ Dép'!AG21)</f>
        <v>0</v>
      </c>
      <c r="G88" s="1589"/>
      <c r="H88" s="202"/>
      <c r="I88" s="1207">
        <f>'Jrnl Exp ~ Dép'!AN$516</f>
        <v>0</v>
      </c>
      <c r="J88" s="1215">
        <f t="shared" si="1"/>
        <v>0</v>
      </c>
      <c r="L88" s="21"/>
    </row>
    <row r="89" spans="2:12" s="12" customFormat="1" ht="33" customHeight="1" thickTop="1" thickBot="1" x14ac:dyDescent="0.25">
      <c r="B89" s="1605"/>
      <c r="C89" s="541">
        <f>'Jrnl Exp ~ Dép'!AO$6</f>
        <v>5220</v>
      </c>
      <c r="D89" s="1589"/>
      <c r="E89" s="542" t="str">
        <f>+'Jrnl Exp ~ Dép'!AO$8</f>
        <v>Disponible ~ Available</v>
      </c>
      <c r="F89" s="538">
        <f>IF($K$1=2,'Jrnl Exp ~ Dép'!AO21,'Jrnl Exp ~ Dép'!AO22)</f>
        <v>0</v>
      </c>
      <c r="G89" s="1589"/>
      <c r="H89" s="203"/>
      <c r="I89" s="1207">
        <f>'Jrnl Exp ~ Dép'!AO$516</f>
        <v>0</v>
      </c>
      <c r="J89" s="1216">
        <f t="shared" si="1"/>
        <v>0</v>
      </c>
      <c r="L89" s="21"/>
    </row>
    <row r="90" spans="2:12" s="12" customFormat="1" ht="33" customHeight="1" thickTop="1" x14ac:dyDescent="0.2">
      <c r="B90" s="1603" t="str">
        <f>CONCATENATE('Jrnl Exp ~ Dép'!AP4," - ",'Jrnl Exp ~ Dép'!AP5)</f>
        <v>5300 - DND Supported Mandatory Trg/Activities Expenses</v>
      </c>
      <c r="C90" s="1580">
        <f>'Jrnl Exp ~ Dép'!AP$6</f>
        <v>5310</v>
      </c>
      <c r="D90" s="550"/>
      <c r="E90" s="551" t="str">
        <f>+'Jrnl Exp ~ Dép'!AP$8</f>
        <v>Field Trg Ex (FTX)</v>
      </c>
      <c r="F90" s="530" t="s">
        <v>469</v>
      </c>
      <c r="G90" s="531"/>
      <c r="H90" s="583">
        <f>SUM(G91:G94)</f>
        <v>0</v>
      </c>
      <c r="I90" s="584">
        <f>'Jrnl Exp ~ Dép'!AP$516</f>
        <v>0</v>
      </c>
      <c r="J90" s="585">
        <f t="shared" si="1"/>
        <v>0</v>
      </c>
      <c r="L90" s="21"/>
    </row>
    <row r="91" spans="2:12" s="12" customFormat="1" ht="33" customHeight="1" x14ac:dyDescent="0.2">
      <c r="B91" s="1604"/>
      <c r="C91" s="1581"/>
      <c r="D91" s="1227">
        <f>'Jrnl Exp ~ Dép'!AQ$6</f>
        <v>5310.1</v>
      </c>
      <c r="E91" s="1228" t="str">
        <f>+'Jrnl Exp ~ Dép'!AQ$8</f>
        <v>FTX
Fall</v>
      </c>
      <c r="F91" s="1229"/>
      <c r="G91" s="202"/>
      <c r="H91" s="1582"/>
      <c r="I91" s="1207">
        <f>'Jrnl Exp ~ Dép'!AQ$516</f>
        <v>0</v>
      </c>
      <c r="J91" s="1215">
        <f t="shared" ref="J91:J99" si="2">IF($I91=0,0,$G91-$I91)</f>
        <v>0</v>
      </c>
      <c r="L91" s="21"/>
    </row>
    <row r="92" spans="2:12" s="12" customFormat="1" ht="33" customHeight="1" x14ac:dyDescent="0.2">
      <c r="B92" s="1604"/>
      <c r="C92" s="1581"/>
      <c r="D92" s="1227">
        <f>'Jrnl Exp ~ Dép'!AR$6</f>
        <v>5310.2</v>
      </c>
      <c r="E92" s="1228" t="str">
        <f>+'Jrnl Exp ~ Dép'!AR$8</f>
        <v>FTX
Spring</v>
      </c>
      <c r="F92" s="1229"/>
      <c r="G92" s="202"/>
      <c r="H92" s="1583"/>
      <c r="I92" s="1207">
        <f>'Jrnl Exp ~ Dép'!AR$516</f>
        <v>0</v>
      </c>
      <c r="J92" s="1215">
        <f t="shared" si="2"/>
        <v>0</v>
      </c>
      <c r="L92" s="21"/>
    </row>
    <row r="93" spans="2:12" s="12" customFormat="1" ht="33" customHeight="1" x14ac:dyDescent="0.2">
      <c r="B93" s="1604"/>
      <c r="C93" s="1581"/>
      <c r="D93" s="1227">
        <f>'Jrnl Exp ~ Dép'!AS$6</f>
        <v>5310.3</v>
      </c>
      <c r="E93" s="1228" t="str">
        <f>+'Jrnl Exp ~ Dép'!AS$8</f>
        <v>FTX
Other</v>
      </c>
      <c r="F93" s="1233"/>
      <c r="G93" s="202"/>
      <c r="H93" s="1583"/>
      <c r="I93" s="1207">
        <f>'Jrnl Exp ~ Dép'!AS$516</f>
        <v>0</v>
      </c>
      <c r="J93" s="1215">
        <f t="shared" si="2"/>
        <v>0</v>
      </c>
      <c r="L93" s="21"/>
    </row>
    <row r="94" spans="2:12" s="12" customFormat="1" ht="33" customHeight="1" thickBot="1" x14ac:dyDescent="0.25">
      <c r="B94" s="1604"/>
      <c r="C94" s="1613"/>
      <c r="D94" s="1234">
        <f>'Jrnl Exp ~ Dép'!AT$6</f>
        <v>5310.4</v>
      </c>
      <c r="E94" s="1235" t="str">
        <f>+'Jrnl Exp ~ Dép'!AT$8</f>
        <v>Disponible ~ Available</v>
      </c>
      <c r="F94" s="1236"/>
      <c r="G94" s="488"/>
      <c r="H94" s="1584"/>
      <c r="I94" s="1218">
        <f>'Jrnl Exp ~ Dép'!AT$516</f>
        <v>0</v>
      </c>
      <c r="J94" s="1219">
        <f t="shared" si="2"/>
        <v>0</v>
      </c>
      <c r="L94" s="21"/>
    </row>
    <row r="95" spans="2:12" s="12" customFormat="1" ht="33" customHeight="1" x14ac:dyDescent="0.2">
      <c r="B95" s="1604"/>
      <c r="C95" s="1614">
        <f>'Jrnl Exp ~ Dép'!AU$6</f>
        <v>5315</v>
      </c>
      <c r="D95" s="586"/>
      <c r="E95" s="587" t="str">
        <f>+'Jrnl Exp ~ Dép'!AU$8</f>
        <v>Other training</v>
      </c>
      <c r="F95" s="588" t="s">
        <v>470</v>
      </c>
      <c r="G95" s="589"/>
      <c r="H95" s="590">
        <f>SUM(G96:G99)</f>
        <v>0</v>
      </c>
      <c r="I95" s="591">
        <f>'Jrnl Exp ~ Dép'!AU$516</f>
        <v>0</v>
      </c>
      <c r="J95" s="592">
        <f t="shared" ref="J95" si="3">IF($I95=0,0,$H95-$I95)</f>
        <v>0</v>
      </c>
      <c r="L95" s="21"/>
    </row>
    <row r="96" spans="2:12" s="12" customFormat="1" ht="33" customHeight="1" x14ac:dyDescent="0.2">
      <c r="B96" s="1604"/>
      <c r="C96" s="1581"/>
      <c r="D96" s="1227">
        <f>'Jrnl Exp ~ Dép'!AV$6</f>
        <v>5315.1</v>
      </c>
      <c r="E96" s="1228" t="str">
        <f>+'Jrnl Exp ~ Dép'!AV$8</f>
        <v>Disponible ~ Available</v>
      </c>
      <c r="F96" s="1237"/>
      <c r="G96" s="202"/>
      <c r="H96" s="1582"/>
      <c r="I96" s="1207">
        <f>'Jrnl Exp ~ Dép'!AV$516</f>
        <v>0</v>
      </c>
      <c r="J96" s="1215">
        <f t="shared" si="2"/>
        <v>0</v>
      </c>
      <c r="L96" s="21"/>
    </row>
    <row r="97" spans="2:12" s="12" customFormat="1" ht="33" customHeight="1" x14ac:dyDescent="0.2">
      <c r="B97" s="1604"/>
      <c r="C97" s="1581"/>
      <c r="D97" s="1227">
        <f>'Jrnl Exp ~ Dép'!AW$6</f>
        <v>5315.2</v>
      </c>
      <c r="E97" s="1228" t="str">
        <f>+'Jrnl Exp ~ Dép'!AW$8</f>
        <v>Disponible ~ Available</v>
      </c>
      <c r="F97" s="1237"/>
      <c r="G97" s="202"/>
      <c r="H97" s="1583"/>
      <c r="I97" s="1207">
        <f>'Jrnl Exp ~ Dép'!AW$516</f>
        <v>0</v>
      </c>
      <c r="J97" s="1215">
        <f t="shared" si="2"/>
        <v>0</v>
      </c>
      <c r="L97" s="21"/>
    </row>
    <row r="98" spans="2:12" s="12" customFormat="1" ht="33" customHeight="1" x14ac:dyDescent="0.2">
      <c r="B98" s="1604"/>
      <c r="C98" s="1581"/>
      <c r="D98" s="1227">
        <f>'Jrnl Exp ~ Dép'!AX$6</f>
        <v>5315.3</v>
      </c>
      <c r="E98" s="1228" t="str">
        <f>+'Jrnl Exp ~ Dép'!AX$8</f>
        <v>Disponible ~ Available</v>
      </c>
      <c r="F98" s="1237"/>
      <c r="G98" s="202"/>
      <c r="H98" s="1583"/>
      <c r="I98" s="1207">
        <f>'Jrnl Exp ~ Dép'!AX$516</f>
        <v>0</v>
      </c>
      <c r="J98" s="1215">
        <f t="shared" si="2"/>
        <v>0</v>
      </c>
      <c r="L98" s="21"/>
    </row>
    <row r="99" spans="2:12" s="12" customFormat="1" ht="33" customHeight="1" thickBot="1" x14ac:dyDescent="0.25">
      <c r="B99" s="1604"/>
      <c r="C99" s="1613"/>
      <c r="D99" s="1234">
        <f>'Jrnl Exp ~ Dép'!AY$6</f>
        <v>5315.4</v>
      </c>
      <c r="E99" s="1235" t="str">
        <f>+'Jrnl Exp ~ Dép'!AY$8</f>
        <v>Disponible ~ Available</v>
      </c>
      <c r="F99" s="1238"/>
      <c r="G99" s="488"/>
      <c r="H99" s="1584"/>
      <c r="I99" s="1218">
        <f>'Jrnl Exp ~ Dép'!AY$516</f>
        <v>0</v>
      </c>
      <c r="J99" s="1219">
        <f t="shared" si="2"/>
        <v>0</v>
      </c>
      <c r="L99" s="21"/>
    </row>
    <row r="100" spans="2:12" s="12" customFormat="1" ht="33" customHeight="1" x14ac:dyDescent="0.2">
      <c r="B100" s="1604"/>
      <c r="C100" s="532">
        <f>'Jrnl Exp ~ Dép'!AZ$6</f>
        <v>5320</v>
      </c>
      <c r="D100" s="1577"/>
      <c r="E100" s="533" t="str">
        <f>+'Jrnl Exp ~ Dép'!AZ$8</f>
        <v>Training Equipment</v>
      </c>
      <c r="F100" s="555"/>
      <c r="G100" s="1577"/>
      <c r="H100" s="204"/>
      <c r="I100" s="1209">
        <f>'Jrnl Exp ~ Dép'!AZ$516</f>
        <v>0</v>
      </c>
      <c r="J100" s="1217">
        <f t="shared" ref="J100:J111" si="4">IF($I100=0,0,$H100-$I100)</f>
        <v>0</v>
      </c>
      <c r="L100" s="21"/>
    </row>
    <row r="101" spans="2:12" s="12" customFormat="1" ht="33" customHeight="1" x14ac:dyDescent="0.2">
      <c r="B101" s="1604"/>
      <c r="C101" s="147">
        <f>'Jrnl Exp ~ Dép'!BA$6</f>
        <v>5325</v>
      </c>
      <c r="D101" s="1577"/>
      <c r="E101" s="501" t="str">
        <f>+'Jrnl Exp ~ Dép'!BA$8</f>
        <v>Sports &amp; Phys Ed Related Activities</v>
      </c>
      <c r="F101" s="556" t="str">
        <f>IF(K1=2,"Incl. Laser Tag, Quilles, Course à obstacles et autres act. commerciales","Including Laser tag, Absailing, Bowling and other commercial activities")</f>
        <v>Including Laser tag, Absailing, Bowling and other commercial activities</v>
      </c>
      <c r="G101" s="1577"/>
      <c r="H101" s="202"/>
      <c r="I101" s="1207">
        <f>'Jrnl Exp ~ Dép'!BA$516</f>
        <v>0</v>
      </c>
      <c r="J101" s="1215">
        <f t="shared" si="4"/>
        <v>0</v>
      </c>
      <c r="L101" s="21"/>
    </row>
    <row r="102" spans="2:12" s="12" customFormat="1" ht="38.25" x14ac:dyDescent="0.2">
      <c r="B102" s="1604"/>
      <c r="C102" s="147">
        <f>'Jrnl Exp ~ Dép'!BB$6</f>
        <v>5330</v>
      </c>
      <c r="D102" s="1577"/>
      <c r="E102" s="207" t="str">
        <f>+'Jrnl Exp ~ Dép'!BB$8</f>
        <v>Flying and Gliding related outlays</v>
      </c>
      <c r="F102" s="556" t="str">
        <f>IF(K1=2,"Familiarisation :Repas, Transport - Spécialisation: Certificat médical, License, examen du Min. Trsp, Sélection, etc.","Familiarization: Meals, Trsp - Specialization: Med Certificate, Licence, Exams, Selection, Etc.")</f>
        <v>Familiarization: Meals, Trsp - Specialization: Med Certificate, Licence, Exams, Selection, Etc.</v>
      </c>
      <c r="G102" s="1577"/>
      <c r="H102" s="202"/>
      <c r="I102" s="1207">
        <f>'Jrnl Exp ~ Dép'!BB$516</f>
        <v>0</v>
      </c>
      <c r="J102" s="1215">
        <f t="shared" si="4"/>
        <v>0</v>
      </c>
      <c r="L102" s="21"/>
    </row>
    <row r="103" spans="2:12" s="12" customFormat="1" ht="33" customHeight="1" x14ac:dyDescent="0.2">
      <c r="B103" s="1604"/>
      <c r="C103" s="147">
        <f>'Jrnl Exp ~ Dép'!BC$6</f>
        <v>5335</v>
      </c>
      <c r="D103" s="1577"/>
      <c r="E103" s="207" t="str">
        <f>+'Jrnl Exp ~ Dép'!BC$8</f>
        <v>Community Service</v>
      </c>
      <c r="F103" s="556"/>
      <c r="G103" s="1577"/>
      <c r="H103" s="202"/>
      <c r="I103" s="1207">
        <f>'Jrnl Exp ~ Dép'!BC$516</f>
        <v>0</v>
      </c>
      <c r="J103" s="1215">
        <f t="shared" si="4"/>
        <v>0</v>
      </c>
      <c r="L103" s="21"/>
    </row>
    <row r="104" spans="2:12" s="12" customFormat="1" ht="33" customHeight="1" x14ac:dyDescent="0.2">
      <c r="B104" s="1604"/>
      <c r="C104" s="147">
        <f>'Jrnl Exp ~ Dép'!BD$6</f>
        <v>5340</v>
      </c>
      <c r="D104" s="1577"/>
      <c r="E104" s="207" t="str">
        <f>+'Jrnl Exp ~ Dép'!BD$8</f>
        <v>Shooting Pgm</v>
      </c>
      <c r="F104" s="556" t="str">
        <f>IF(K1=2,"Familiarisation seulement","Familiarization only")</f>
        <v>Familiarization only</v>
      </c>
      <c r="G104" s="1577"/>
      <c r="H104" s="202"/>
      <c r="I104" s="1207">
        <f>'Jrnl Exp ~ Dép'!BD$516</f>
        <v>0</v>
      </c>
      <c r="J104" s="1215">
        <f t="shared" si="4"/>
        <v>0</v>
      </c>
      <c r="L104" s="21"/>
    </row>
    <row r="105" spans="2:12" s="12" customFormat="1" ht="33" customHeight="1" x14ac:dyDescent="0.2">
      <c r="B105" s="1604"/>
      <c r="C105" s="147">
        <f>'Jrnl Exp ~ Dép'!BE$6</f>
        <v>5345</v>
      </c>
      <c r="D105" s="1577"/>
      <c r="E105" s="207" t="str">
        <f>+'Jrnl Exp ~ Dép'!BE$8</f>
        <v>Aviation Day</v>
      </c>
      <c r="F105" s="556"/>
      <c r="G105" s="1577"/>
      <c r="H105" s="202"/>
      <c r="I105" s="1207">
        <f>'Jrnl Exp ~ Dép'!BE$516</f>
        <v>0</v>
      </c>
      <c r="J105" s="1215">
        <f t="shared" si="4"/>
        <v>0</v>
      </c>
      <c r="L105" s="21"/>
    </row>
    <row r="106" spans="2:12" s="12" customFormat="1" ht="33" customHeight="1" x14ac:dyDescent="0.2">
      <c r="B106" s="1604"/>
      <c r="C106" s="147">
        <f>'Jrnl Exp ~ Dép'!BF$6</f>
        <v>5350</v>
      </c>
      <c r="D106" s="1577"/>
      <c r="E106" s="501" t="str">
        <f>+'Jrnl Exp ~ Dép'!BF$8</f>
        <v>Mess Dinner</v>
      </c>
      <c r="F106" s="556"/>
      <c r="G106" s="1577"/>
      <c r="H106" s="202"/>
      <c r="I106" s="1207">
        <f>'Jrnl Exp ~ Dép'!BF516</f>
        <v>0</v>
      </c>
      <c r="J106" s="1215">
        <f t="shared" si="4"/>
        <v>0</v>
      </c>
      <c r="L106" s="21"/>
    </row>
    <row r="107" spans="2:12" s="12" customFormat="1" ht="33" customHeight="1" x14ac:dyDescent="0.2">
      <c r="B107" s="1604"/>
      <c r="C107" s="147">
        <f>'Jrnl Exp ~ Dép'!BG$6</f>
        <v>5355</v>
      </c>
      <c r="D107" s="1577"/>
      <c r="E107" s="501" t="str">
        <f>+'Jrnl Exp ~ Dép'!BG$8</f>
        <v>Ground School</v>
      </c>
      <c r="F107" s="556"/>
      <c r="G107" s="1577"/>
      <c r="H107" s="202"/>
      <c r="I107" s="1207">
        <f>'Jrnl Exp ~ Dép'!BG$516</f>
        <v>0</v>
      </c>
      <c r="J107" s="1215">
        <f t="shared" si="4"/>
        <v>0</v>
      </c>
      <c r="L107" s="21"/>
    </row>
    <row r="108" spans="2:12" s="12" customFormat="1" ht="33" customHeight="1" x14ac:dyDescent="0.2">
      <c r="B108" s="1604"/>
      <c r="C108" s="526">
        <f>'Jrnl Exp ~ Dép'!BH$6</f>
        <v>5360</v>
      </c>
      <c r="D108" s="1577"/>
      <c r="E108" s="527" t="str">
        <f>+'Jrnl Exp ~ Dép'!BH$8</f>
        <v>Disponible ~ Available</v>
      </c>
      <c r="F108" s="557"/>
      <c r="G108" s="1577"/>
      <c r="H108" s="201"/>
      <c r="I108" s="1211">
        <f>'Jrnl Exp ~ Dép'!BH$516</f>
        <v>0</v>
      </c>
      <c r="J108" s="1214">
        <f t="shared" si="4"/>
        <v>0</v>
      </c>
      <c r="L108" s="21"/>
    </row>
    <row r="109" spans="2:12" s="12" customFormat="1" ht="33" customHeight="1" x14ac:dyDescent="0.2">
      <c r="B109" s="1604"/>
      <c r="C109" s="526">
        <f>'Jrnl Exp ~ Dép'!BI$6</f>
        <v>5365</v>
      </c>
      <c r="D109" s="1577"/>
      <c r="E109" s="527" t="str">
        <f>+'Jrnl Exp ~ Dép'!BI$8</f>
        <v>Disponible ~ Available</v>
      </c>
      <c r="F109" s="557"/>
      <c r="G109" s="1577"/>
      <c r="H109" s="201"/>
      <c r="I109" s="1211">
        <f>'Jrnl Exp ~ Dép'!BI$516</f>
        <v>0</v>
      </c>
      <c r="J109" s="1214">
        <f t="shared" si="4"/>
        <v>0</v>
      </c>
      <c r="L109" s="21"/>
    </row>
    <row r="110" spans="2:12" s="12" customFormat="1" ht="33" customHeight="1" x14ac:dyDescent="0.2">
      <c r="B110" s="1604"/>
      <c r="C110" s="526">
        <f>'Jrnl Exp ~ Dép'!BJ$6</f>
        <v>5370</v>
      </c>
      <c r="D110" s="1577"/>
      <c r="E110" s="527" t="str">
        <f>+'Jrnl Exp ~ Dép'!BJ$8</f>
        <v>Disponible ~ Available</v>
      </c>
      <c r="F110" s="557"/>
      <c r="G110" s="1577"/>
      <c r="H110" s="201"/>
      <c r="I110" s="1211">
        <f>'Jrnl Exp ~ Dép'!BJ$516</f>
        <v>0</v>
      </c>
      <c r="J110" s="1214">
        <f t="shared" si="4"/>
        <v>0</v>
      </c>
      <c r="L110" s="21"/>
    </row>
    <row r="111" spans="2:12" s="12" customFormat="1" ht="33" customHeight="1" x14ac:dyDescent="0.2">
      <c r="B111" s="1604"/>
      <c r="C111" s="526">
        <f>'Jrnl Exp ~ Dép'!BK$6</f>
        <v>5375</v>
      </c>
      <c r="D111" s="1577"/>
      <c r="E111" s="527" t="str">
        <f>+'Jrnl Exp ~ Dép'!BK$8</f>
        <v>Disponible ~ Available</v>
      </c>
      <c r="F111" s="557"/>
      <c r="G111" s="1577"/>
      <c r="H111" s="201"/>
      <c r="I111" s="1211">
        <f>'Jrnl Exp ~ Dép'!BK$516</f>
        <v>0</v>
      </c>
      <c r="J111" s="1214">
        <f t="shared" si="4"/>
        <v>0</v>
      </c>
      <c r="L111" s="21"/>
    </row>
    <row r="112" spans="2:12" s="12" customFormat="1" ht="33" customHeight="1" thickBot="1" x14ac:dyDescent="0.25">
      <c r="B112" s="1604"/>
      <c r="C112" s="526">
        <f>'Jrnl Exp ~ Dép'!BL$6</f>
        <v>5380</v>
      </c>
      <c r="D112" s="1577"/>
      <c r="E112" s="527" t="str">
        <f>+'Jrnl Exp ~ Dép'!BL$8</f>
        <v>Disponible ~ Available</v>
      </c>
      <c r="F112" s="557"/>
      <c r="G112" s="1577"/>
      <c r="H112" s="201"/>
      <c r="I112" s="1211">
        <f>'Jrnl Exp ~ Dép'!BL$516</f>
        <v>0</v>
      </c>
      <c r="J112" s="1214">
        <f>IF($I112=0,0,$H112-$I112)</f>
        <v>0</v>
      </c>
      <c r="L112" s="21"/>
    </row>
    <row r="113" spans="2:12" s="12" customFormat="1" ht="26.25" thickTop="1" x14ac:dyDescent="0.2">
      <c r="B113" s="1607" t="str">
        <f>CONCATENATE('Jrnl Exp ~ Dép'!BM4," - ",'Jrnl Exp ~ Dép'!BM5)</f>
        <v>5400 - DND Supported Optional Trg/Activities Expenses</v>
      </c>
      <c r="C113" s="558">
        <f>'Jrnl Exp ~ Dép'!BM$6</f>
        <v>5410</v>
      </c>
      <c r="D113" s="1578"/>
      <c r="E113" s="559" t="str">
        <f>+'Jrnl Exp ~ Dép'!BM$8</f>
        <v>Band</v>
      </c>
      <c r="F113" s="560" t="str">
        <f>IF(K1=2,"Instruments, Accessoires, Compétitions, Repas, Transport, Instructeurs, Locations etc.","Instruments, Accessories, Competitions, Meals, Trsp, Instructors, Rental, etc.")</f>
        <v>Instruments, Accessories, Competitions, Meals, Trsp, Instructors, Rental, etc.</v>
      </c>
      <c r="G113" s="561"/>
      <c r="H113" s="200"/>
      <c r="I113" s="1204">
        <f>'Jrnl Exp ~ Dép'!BM$516</f>
        <v>0</v>
      </c>
      <c r="J113" s="1213">
        <f>IF($I113=0,0,$H113-$I113)</f>
        <v>0</v>
      </c>
      <c r="L113" s="21"/>
    </row>
    <row r="114" spans="2:12" s="12" customFormat="1" ht="33" customHeight="1" x14ac:dyDescent="0.2">
      <c r="B114" s="1608"/>
      <c r="C114" s="526">
        <f>'Jrnl Exp ~ Dép'!BN$6</f>
        <v>5415</v>
      </c>
      <c r="D114" s="1577"/>
      <c r="E114" s="527" t="str">
        <f>+'Jrnl Exp ~ Dép'!BN$8</f>
        <v>Drill Team</v>
      </c>
      <c r="F114" s="556" t="str">
        <f>IF(K1=2,"Locations, Repas, Transport, Compétitions, Habillement, etc.","Rental, Meals, Trsp, Competitions, Clothing, etc.")</f>
        <v>Rental, Meals, Trsp, Competitions, Clothing, etc.</v>
      </c>
      <c r="G114" s="562"/>
      <c r="H114" s="202"/>
      <c r="I114" s="1207">
        <f>'Jrnl Exp ~ Dép'!BN$516</f>
        <v>0</v>
      </c>
      <c r="J114" s="1215">
        <f t="shared" ref="J114:J122" si="5">IF($I114=0,0,$H114-$I114)</f>
        <v>0</v>
      </c>
      <c r="L114" s="21"/>
    </row>
    <row r="115" spans="2:12" s="12" customFormat="1" ht="33" customHeight="1" x14ac:dyDescent="0.2">
      <c r="B115" s="1608"/>
      <c r="C115" s="526">
        <f>'Jrnl Exp ~ Dép'!BO$6</f>
        <v>5420</v>
      </c>
      <c r="D115" s="1577"/>
      <c r="E115" s="527" t="str">
        <f>+'Jrnl Exp ~ Dép'!BO$8</f>
        <v>Marksmanship</v>
      </c>
      <c r="F115" s="556" t="str">
        <f>IF(K1=2,"Locations, Repas, Transport, Équipement, Compétitions, etc.","Rental, Meals, Trsp, Equipments, Competitions, etc.")</f>
        <v>Rental, Meals, Trsp, Equipments, Competitions, etc.</v>
      </c>
      <c r="G115" s="562"/>
      <c r="H115" s="202"/>
      <c r="I115" s="1207">
        <f>'Jrnl Exp ~ Dép'!BO$516</f>
        <v>0</v>
      </c>
      <c r="J115" s="1215">
        <f t="shared" si="5"/>
        <v>0</v>
      </c>
      <c r="L115" s="21"/>
    </row>
    <row r="116" spans="2:12" s="12" customFormat="1" ht="33" customHeight="1" x14ac:dyDescent="0.2">
      <c r="B116" s="1608"/>
      <c r="C116" s="526">
        <f>'Jrnl Exp ~ Dép'!BP$6</f>
        <v>5425</v>
      </c>
      <c r="D116" s="1577"/>
      <c r="E116" s="527" t="str">
        <f>+'Jrnl Exp ~ Dép'!BP$8</f>
        <v>Biathlon</v>
      </c>
      <c r="F116" s="556" t="str">
        <f>IF(K1=2,"Locations, Repas, Transport, Équipement, Compétitions, etc.","Rental, Meals, Trsp, Equipments, Competitions, etc.")</f>
        <v>Rental, Meals, Trsp, Equipments, Competitions, etc.</v>
      </c>
      <c r="G116" s="562"/>
      <c r="H116" s="202"/>
      <c r="I116" s="1207">
        <f>'Jrnl Exp ~ Dép'!BP$516</f>
        <v>0</v>
      </c>
      <c r="J116" s="1215">
        <f t="shared" si="5"/>
        <v>0</v>
      </c>
      <c r="L116" s="21"/>
    </row>
    <row r="117" spans="2:12" s="12" customFormat="1" ht="33" customHeight="1" x14ac:dyDescent="0.2">
      <c r="B117" s="1608"/>
      <c r="C117" s="526">
        <f>'Jrnl Exp ~ Dép'!BQ$6</f>
        <v>5430</v>
      </c>
      <c r="D117" s="1577"/>
      <c r="E117" s="527" t="str">
        <f>+'Jrnl Exp ~ Dép'!BQ$8</f>
        <v>Effective Speaking</v>
      </c>
      <c r="F117" s="556" t="str">
        <f>IF(K1=2,"Locations, Repas, Transport, Fournitures, Compétitions, etc.","Rental, Meals, Trsp, Supplies, Competitions etc.")</f>
        <v>Rental, Meals, Trsp, Supplies, Competitions etc.</v>
      </c>
      <c r="G117" s="562"/>
      <c r="H117" s="202"/>
      <c r="I117" s="1207">
        <f>'Jrnl Exp ~ Dép'!BQ$516</f>
        <v>0</v>
      </c>
      <c r="J117" s="1215">
        <f t="shared" si="5"/>
        <v>0</v>
      </c>
      <c r="L117" s="21"/>
    </row>
    <row r="118" spans="2:12" s="12" customFormat="1" ht="33" customHeight="1" x14ac:dyDescent="0.2">
      <c r="B118" s="1608"/>
      <c r="C118" s="526">
        <f>'Jrnl Exp ~ Dép'!BR$6</f>
        <v>5435</v>
      </c>
      <c r="D118" s="1577"/>
      <c r="E118" s="527" t="str">
        <f>+'Jrnl Exp ~ Dép'!BR$8</f>
        <v>Disponible ~ Available</v>
      </c>
      <c r="F118" s="556"/>
      <c r="G118" s="562"/>
      <c r="H118" s="202"/>
      <c r="I118" s="1207">
        <f>'Jrnl Exp ~ Dép'!BR$516</f>
        <v>0</v>
      </c>
      <c r="J118" s="1215">
        <f t="shared" si="5"/>
        <v>0</v>
      </c>
      <c r="L118" s="21"/>
    </row>
    <row r="119" spans="2:12" s="12" customFormat="1" ht="33" customHeight="1" x14ac:dyDescent="0.2">
      <c r="B119" s="1608"/>
      <c r="C119" s="526">
        <f>'Jrnl Exp ~ Dép'!BS$6</f>
        <v>5440</v>
      </c>
      <c r="D119" s="1577"/>
      <c r="E119" s="527" t="str">
        <f>+'Jrnl Exp ~ Dép'!BS$8</f>
        <v>Disponible ~ Available</v>
      </c>
      <c r="F119" s="556"/>
      <c r="G119" s="562"/>
      <c r="H119" s="202"/>
      <c r="I119" s="1207">
        <f>'Jrnl Exp ~ Dép'!BS$516</f>
        <v>0</v>
      </c>
      <c r="J119" s="1215">
        <f t="shared" si="5"/>
        <v>0</v>
      </c>
      <c r="L119" s="21"/>
    </row>
    <row r="120" spans="2:12" s="12" customFormat="1" ht="33" customHeight="1" x14ac:dyDescent="0.2">
      <c r="B120" s="1608"/>
      <c r="C120" s="526">
        <f>'Jrnl Exp ~ Dép'!BT$6</f>
        <v>5445</v>
      </c>
      <c r="D120" s="1577"/>
      <c r="E120" s="527" t="str">
        <f>+'Jrnl Exp ~ Dép'!BT$8</f>
        <v>Disponible ~ Available</v>
      </c>
      <c r="F120" s="556"/>
      <c r="G120" s="562"/>
      <c r="H120" s="202"/>
      <c r="I120" s="1207">
        <f>'Jrnl Exp ~ Dép'!BT$516</f>
        <v>0</v>
      </c>
      <c r="J120" s="1215">
        <f t="shared" si="5"/>
        <v>0</v>
      </c>
      <c r="L120" s="21"/>
    </row>
    <row r="121" spans="2:12" s="12" customFormat="1" ht="33" customHeight="1" x14ac:dyDescent="0.2">
      <c r="B121" s="1608"/>
      <c r="C121" s="526">
        <f>'Jrnl Exp ~ Dép'!BU$6</f>
        <v>5450</v>
      </c>
      <c r="D121" s="1577"/>
      <c r="E121" s="527" t="str">
        <f>+'Jrnl Exp ~ Dép'!BU$8</f>
        <v>Disponible ~ Available</v>
      </c>
      <c r="F121" s="556"/>
      <c r="G121" s="562"/>
      <c r="H121" s="202"/>
      <c r="I121" s="1207">
        <f>'Jrnl Exp ~ Dép'!BU$516</f>
        <v>0</v>
      </c>
      <c r="J121" s="1215">
        <f t="shared" si="5"/>
        <v>0</v>
      </c>
      <c r="L121" s="21"/>
    </row>
    <row r="122" spans="2:12" s="12" customFormat="1" ht="33" customHeight="1" thickBot="1" x14ac:dyDescent="0.25">
      <c r="B122" s="1609"/>
      <c r="C122" s="541">
        <f>'Jrnl Exp ~ Dép'!BV$6</f>
        <v>5455</v>
      </c>
      <c r="D122" s="1579"/>
      <c r="E122" s="542" t="str">
        <f>+'Jrnl Exp ~ Dép'!BV$8</f>
        <v>Disponible ~ Available</v>
      </c>
      <c r="F122" s="563"/>
      <c r="G122" s="564"/>
      <c r="H122" s="203"/>
      <c r="I122" s="1206">
        <f>'Jrnl Exp ~ Dép'!BV$516</f>
        <v>0</v>
      </c>
      <c r="J122" s="1216">
        <f t="shared" si="5"/>
        <v>0</v>
      </c>
      <c r="L122" s="21"/>
    </row>
    <row r="123" spans="2:12" s="12" customFormat="1" ht="33" customHeight="1" thickTop="1" x14ac:dyDescent="0.2">
      <c r="B123" s="1603" t="str">
        <f>CONCATENATE('Jrnl Exp ~ Dép'!BW4," - ",'Jrnl Exp ~ Dép'!BW5)</f>
        <v>5500 - DND Non-Supported Trg/Activities Expenses</v>
      </c>
      <c r="C123" s="1580">
        <f>'Jrnl Exp ~ Dép'!BW$6</f>
        <v>5510</v>
      </c>
      <c r="D123" s="565"/>
      <c r="E123" s="559" t="str">
        <f>+'Jrnl Exp ~ Dép'!BW$8</f>
        <v>Cadet Banquets and Special Events</v>
      </c>
      <c r="F123" s="588" t="s">
        <v>471</v>
      </c>
      <c r="G123" s="561"/>
      <c r="H123" s="593">
        <f>SUM(G124:G130)</f>
        <v>0</v>
      </c>
      <c r="I123" s="594">
        <f>'Jrnl Exp ~ Dép'!BW$516</f>
        <v>0</v>
      </c>
      <c r="J123" s="595">
        <f t="shared" ref="J123" si="6">IF($I123=0,0,$H123-$I123)</f>
        <v>0</v>
      </c>
      <c r="L123" s="21"/>
    </row>
    <row r="124" spans="2:12" s="12" customFormat="1" ht="33" customHeight="1" x14ac:dyDescent="0.2">
      <c r="B124" s="1604"/>
      <c r="C124" s="1581"/>
      <c r="D124" s="1227">
        <f>'Jrnl Exp ~ Dép'!BX$6</f>
        <v>5510.1</v>
      </c>
      <c r="E124" s="1228" t="str">
        <f>'Jrnl Exp ~ Dép'!BX$8</f>
        <v>Annual
Banquet</v>
      </c>
      <c r="F124" s="1229"/>
      <c r="G124" s="202"/>
      <c r="H124" s="1585"/>
      <c r="I124" s="1207">
        <f>'Jrnl Exp ~ Dép'!BX$516</f>
        <v>0</v>
      </c>
      <c r="J124" s="1215">
        <f t="shared" ref="J124:J130" si="7">IF($I124=0,0,$G124-$I124)</f>
        <v>0</v>
      </c>
      <c r="L124" s="21"/>
    </row>
    <row r="125" spans="2:12" s="12" customFormat="1" ht="33" customHeight="1" x14ac:dyDescent="0.2">
      <c r="B125" s="1604"/>
      <c r="C125" s="1581"/>
      <c r="D125" s="1227">
        <f>'Jrnl Exp ~ Dép'!BY$6</f>
        <v>5510.2</v>
      </c>
      <c r="E125" s="1228" t="str">
        <f>'Jrnl Exp ~ Dép'!BY$8</f>
        <v>Disponible ~ Available</v>
      </c>
      <c r="F125" s="1229"/>
      <c r="G125" s="202"/>
      <c r="H125" s="1586"/>
      <c r="I125" s="1207">
        <f>'Jrnl Exp ~ Dép'!BY$516</f>
        <v>0</v>
      </c>
      <c r="J125" s="1215">
        <f t="shared" si="7"/>
        <v>0</v>
      </c>
      <c r="L125" s="21"/>
    </row>
    <row r="126" spans="2:12" s="12" customFormat="1" ht="33" customHeight="1" x14ac:dyDescent="0.2">
      <c r="B126" s="1604"/>
      <c r="C126" s="1581"/>
      <c r="D126" s="1227">
        <f>'Jrnl Exp ~ Dép'!BZ$6</f>
        <v>5510.3</v>
      </c>
      <c r="E126" s="1228" t="str">
        <f>'Jrnl Exp ~ Dép'!BZ$8</f>
        <v>Disponible ~ Available</v>
      </c>
      <c r="F126" s="1229"/>
      <c r="G126" s="202"/>
      <c r="H126" s="1586"/>
      <c r="I126" s="1207">
        <f>'Jrnl Exp ~ Dép'!BZ$516</f>
        <v>0</v>
      </c>
      <c r="J126" s="1215">
        <f t="shared" si="7"/>
        <v>0</v>
      </c>
      <c r="L126" s="21"/>
    </row>
    <row r="127" spans="2:12" s="12" customFormat="1" ht="33" customHeight="1" x14ac:dyDescent="0.2">
      <c r="B127" s="1604"/>
      <c r="C127" s="1581"/>
      <c r="D127" s="1227">
        <f>'Jrnl Exp ~ Dép'!CA$6</f>
        <v>5510.4</v>
      </c>
      <c r="E127" s="1228" t="str">
        <f>'Jrnl Exp ~ Dép'!CA$8</f>
        <v>Disponible ~ Available</v>
      </c>
      <c r="F127" s="1229"/>
      <c r="G127" s="202"/>
      <c r="H127" s="1586"/>
      <c r="I127" s="1207">
        <f>'Jrnl Exp ~ Dép'!CA$516</f>
        <v>0</v>
      </c>
      <c r="J127" s="1215">
        <f t="shared" si="7"/>
        <v>0</v>
      </c>
      <c r="L127" s="21"/>
    </row>
    <row r="128" spans="2:12" s="12" customFormat="1" ht="33" customHeight="1" x14ac:dyDescent="0.2">
      <c r="B128" s="1604"/>
      <c r="C128" s="1581"/>
      <c r="D128" s="1227">
        <f>'Jrnl Exp ~ Dép'!CB$6</f>
        <v>5510.5</v>
      </c>
      <c r="E128" s="1228" t="str">
        <f>'Jrnl Exp ~ Dép'!CB$8</f>
        <v>Disponible ~ Available</v>
      </c>
      <c r="F128" s="1229"/>
      <c r="G128" s="202"/>
      <c r="H128" s="1586"/>
      <c r="I128" s="1207">
        <f>'Jrnl Exp ~ Dép'!CB$516</f>
        <v>0</v>
      </c>
      <c r="J128" s="1215">
        <f t="shared" si="7"/>
        <v>0</v>
      </c>
      <c r="L128" s="21"/>
    </row>
    <row r="129" spans="2:12" s="12" customFormat="1" ht="33" customHeight="1" x14ac:dyDescent="0.2">
      <c r="B129" s="1604"/>
      <c r="C129" s="1581"/>
      <c r="D129" s="1227">
        <f>'Jrnl Exp ~ Dép'!CC$6</f>
        <v>5510.6</v>
      </c>
      <c r="E129" s="1228" t="str">
        <f>'Jrnl Exp ~ Dép'!CC$8</f>
        <v>Disponible ~ Available</v>
      </c>
      <c r="F129" s="1229"/>
      <c r="G129" s="202"/>
      <c r="H129" s="1586"/>
      <c r="I129" s="1207">
        <f>'Jrnl Exp ~ Dép'!CC$516</f>
        <v>0</v>
      </c>
      <c r="J129" s="1215">
        <f t="shared" si="7"/>
        <v>0</v>
      </c>
      <c r="L129" s="21"/>
    </row>
    <row r="130" spans="2:12" s="12" customFormat="1" ht="33" customHeight="1" thickBot="1" x14ac:dyDescent="0.25">
      <c r="B130" s="1604"/>
      <c r="C130" s="1581"/>
      <c r="D130" s="1239">
        <f>'Jrnl Exp ~ Dép'!CD$6</f>
        <v>5510.7</v>
      </c>
      <c r="E130" s="1240" t="str">
        <f>'Jrnl Exp ~ Dép'!CD$8</f>
        <v>Disponible ~ Available</v>
      </c>
      <c r="F130" s="1241"/>
      <c r="G130" s="201"/>
      <c r="H130" s="1586"/>
      <c r="I130" s="1211">
        <f>'Jrnl Exp ~ Dép'!CD$516</f>
        <v>0</v>
      </c>
      <c r="J130" s="1214">
        <f t="shared" si="7"/>
        <v>0</v>
      </c>
      <c r="L130" s="21"/>
    </row>
    <row r="131" spans="2:12" s="12" customFormat="1" ht="33" customHeight="1" x14ac:dyDescent="0.2">
      <c r="B131" s="1604"/>
      <c r="C131" s="596">
        <f>'Jrnl Exp ~ Dép'!CE$6</f>
        <v>5515</v>
      </c>
      <c r="D131" s="1610"/>
      <c r="E131" s="597" t="str">
        <f>+'Jrnl Exp ~ Dép'!CE$8</f>
        <v>Annual Ceremonial Review</v>
      </c>
      <c r="F131" s="598" t="str">
        <f>IF(K1=2,"Location, Nourriture, transport, etc.","Rental, Food, Trsp, etc.")</f>
        <v>Rental, Food, Trsp, etc.</v>
      </c>
      <c r="G131" s="1572"/>
      <c r="H131" s="489"/>
      <c r="I131" s="1220">
        <f>'Jrnl Exp ~ Dép'!CE$516</f>
        <v>0</v>
      </c>
      <c r="J131" s="1221">
        <f>IF($I131=0,0,$H131-$I131)</f>
        <v>0</v>
      </c>
      <c r="K131" s="599">
        <f>IF($H131=0,0,#REF!-$H131)</f>
        <v>0</v>
      </c>
      <c r="L131" s="21"/>
    </row>
    <row r="132" spans="2:12" s="12" customFormat="1" ht="33" customHeight="1" x14ac:dyDescent="0.2">
      <c r="B132" s="1604"/>
      <c r="C132" s="147">
        <f>'Jrnl Exp ~ Dép'!CF$6</f>
        <v>5520</v>
      </c>
      <c r="D132" s="1611"/>
      <c r="E132" s="501" t="str">
        <f>+'Jrnl Exp ~ Dép'!CF$8</f>
        <v>Honours &amp; Award</v>
      </c>
      <c r="F132" s="540" t="str">
        <f>IF(K1=2,"Trophées, Plaques, Présents pour invités, etc.","Trophies, Plaques, Gifts for guests, etc.")</f>
        <v>Trophies, Plaques, Gifts for guests, etc.</v>
      </c>
      <c r="G132" s="1573"/>
      <c r="H132" s="202"/>
      <c r="I132" s="1207">
        <f>'Jrnl Exp ~ Dép'!CF$516</f>
        <v>0</v>
      </c>
      <c r="J132" s="1222">
        <f t="shared" ref="J132:J138" si="8">IF($I132=0,0,$H132-$I132)</f>
        <v>0</v>
      </c>
      <c r="K132" s="599">
        <f>IF($H132=0,0,#REF!-$H132)</f>
        <v>0</v>
      </c>
      <c r="L132" s="21"/>
    </row>
    <row r="133" spans="2:12" s="12" customFormat="1" ht="33" customHeight="1" x14ac:dyDescent="0.2">
      <c r="B133" s="1604"/>
      <c r="C133" s="147">
        <f>'Jrnl Exp ~ Dép'!CG$6</f>
        <v>5525</v>
      </c>
      <c r="D133" s="1611"/>
      <c r="E133" s="501" t="str">
        <f>+'Jrnl Exp ~ Dép'!CG$8</f>
        <v>Cadet &amp; Ceremonial Accoutrements</v>
      </c>
      <c r="F133" s="540" t="str">
        <f>IF(K1=2,"Ceintures blanches, Insignes de nom, montage de médailles, etc.","White Belt, Name Tag, Medal Mounting, Etc.")</f>
        <v>White Belt, Name Tag, Medal Mounting, Etc.</v>
      </c>
      <c r="G133" s="1573"/>
      <c r="H133" s="202"/>
      <c r="I133" s="1207">
        <f>'Jrnl Exp ~ Dép'!CG$516</f>
        <v>0</v>
      </c>
      <c r="J133" s="1222">
        <f t="shared" si="8"/>
        <v>0</v>
      </c>
      <c r="K133" s="599"/>
      <c r="L133" s="21"/>
    </row>
    <row r="134" spans="2:12" s="12" customFormat="1" ht="33" customHeight="1" x14ac:dyDescent="0.2">
      <c r="B134" s="1604"/>
      <c r="C134" s="147">
        <f>'Jrnl Exp ~ Dép'!CH$6</f>
        <v>5530</v>
      </c>
      <c r="D134" s="1611"/>
      <c r="E134" s="501" t="str">
        <f>+'Jrnl Exp ~ Dép'!CH$8</f>
        <v>Scholarship &amp; Bursaries</v>
      </c>
      <c r="F134" s="501"/>
      <c r="G134" s="1573"/>
      <c r="H134" s="202"/>
      <c r="I134" s="1207">
        <f>'Jrnl Exp ~ Dép'!CH$516</f>
        <v>0</v>
      </c>
      <c r="J134" s="1222">
        <f t="shared" si="8"/>
        <v>0</v>
      </c>
      <c r="K134" s="599"/>
      <c r="L134" s="21"/>
    </row>
    <row r="135" spans="2:12" s="12" customFormat="1" ht="33" customHeight="1" x14ac:dyDescent="0.2">
      <c r="B135" s="1604"/>
      <c r="C135" s="147">
        <f>'Jrnl Exp ~ Dép'!CI$6</f>
        <v>5535</v>
      </c>
      <c r="D135" s="1611"/>
      <c r="E135" s="501" t="str">
        <f>+'Jrnl Exp ~ Dép'!CI$8</f>
        <v>Disponible ~ Available</v>
      </c>
      <c r="F135" s="501"/>
      <c r="G135" s="1573"/>
      <c r="H135" s="202"/>
      <c r="I135" s="1207">
        <f>'Jrnl Exp ~ Dép'!CI$516</f>
        <v>0</v>
      </c>
      <c r="J135" s="1222">
        <f t="shared" si="8"/>
        <v>0</v>
      </c>
      <c r="K135" s="599"/>
      <c r="L135" s="21"/>
    </row>
    <row r="136" spans="2:12" s="12" customFormat="1" ht="33" customHeight="1" x14ac:dyDescent="0.2">
      <c r="B136" s="1604"/>
      <c r="C136" s="532">
        <f>'Jrnl Exp ~ Dép'!CJ$6</f>
        <v>5540</v>
      </c>
      <c r="D136" s="1611"/>
      <c r="E136" s="533" t="str">
        <f>+'Jrnl Exp ~ Dép'!CJ$8</f>
        <v>Disponible ~ Available</v>
      </c>
      <c r="F136" s="533"/>
      <c r="G136" s="1573"/>
      <c r="H136" s="202"/>
      <c r="I136" s="1209">
        <f>'Jrnl Exp ~ Dép'!CJ$516</f>
        <v>0</v>
      </c>
      <c r="J136" s="1222">
        <f t="shared" si="8"/>
        <v>0</v>
      </c>
      <c r="K136" s="599"/>
      <c r="L136" s="21"/>
    </row>
    <row r="137" spans="2:12" s="12" customFormat="1" ht="33" customHeight="1" x14ac:dyDescent="0.2">
      <c r="B137" s="1604"/>
      <c r="C137" s="532">
        <f>'Jrnl Exp ~ Dép'!CK$6</f>
        <v>5545</v>
      </c>
      <c r="D137" s="1611"/>
      <c r="E137" s="501" t="str">
        <f>+'Jrnl Exp ~ Dép'!CK$8</f>
        <v>Disponible ~ Available</v>
      </c>
      <c r="F137" s="501"/>
      <c r="G137" s="1573"/>
      <c r="H137" s="202"/>
      <c r="I137" s="1207">
        <f>'Jrnl Exp ~ Dép'!CK$516</f>
        <v>0</v>
      </c>
      <c r="J137" s="1222">
        <f t="shared" si="8"/>
        <v>0</v>
      </c>
      <c r="K137" s="599"/>
      <c r="L137" s="21"/>
    </row>
    <row r="138" spans="2:12" s="12" customFormat="1" ht="33" customHeight="1" thickBot="1" x14ac:dyDescent="0.25">
      <c r="B138" s="1605"/>
      <c r="C138" s="536">
        <f>'Jrnl Exp ~ Dép'!CL$6</f>
        <v>5550</v>
      </c>
      <c r="D138" s="1612"/>
      <c r="E138" s="542" t="str">
        <f>+'Jrnl Exp ~ Dép'!CL$8</f>
        <v>Disponible ~ Available</v>
      </c>
      <c r="F138" s="542"/>
      <c r="G138" s="1574"/>
      <c r="H138" s="203"/>
      <c r="I138" s="1206">
        <f>'Jrnl Exp ~ Dép'!CL$516</f>
        <v>0</v>
      </c>
      <c r="J138" s="1223">
        <f t="shared" si="8"/>
        <v>0</v>
      </c>
      <c r="K138" s="599"/>
      <c r="L138" s="21"/>
    </row>
    <row r="139" spans="2:12" s="12" customFormat="1" ht="33" customHeight="1" thickTop="1" thickBot="1" x14ac:dyDescent="0.25">
      <c r="B139" s="1607" t="str">
        <f>CONCATENATE('Jrnl Exp ~ Dép'!CM4," - ",'Jrnl Exp ~ Dép'!CM5)</f>
        <v>5600 - Expenses - Gaming &amp; Lotteries Fundraising</v>
      </c>
      <c r="C139" s="522">
        <f>'Jrnl Exp ~ Dép'!CM$6</f>
        <v>5610</v>
      </c>
      <c r="D139" s="1589"/>
      <c r="E139" s="523" t="str">
        <f>+'Jrnl Exp ~ Dép'!CM$8</f>
        <v>SQN
Lottery/Raffles
Expenses</v>
      </c>
      <c r="F139" s="524">
        <f>IF($K$1=2,'Jrnl Exp ~ Dép'!CV$13,'Jrnl Exp ~ Dép'!CV$14)</f>
        <v>0</v>
      </c>
      <c r="G139" s="1589"/>
      <c r="H139" s="200"/>
      <c r="I139" s="1204">
        <f>'Jrnl Exp ~ Dép'!CM$516</f>
        <v>0</v>
      </c>
      <c r="J139" s="1213">
        <f t="shared" ref="J139:J164" si="9">IF($I139=0,0,$H139-$I139)</f>
        <v>0</v>
      </c>
      <c r="L139" s="21"/>
    </row>
    <row r="140" spans="2:12" s="12" customFormat="1" ht="33" customHeight="1" thickTop="1" thickBot="1" x14ac:dyDescent="0.25">
      <c r="B140" s="1608"/>
      <c r="C140" s="147">
        <f>'Jrnl Exp ~ Dép'!CN$6</f>
        <v>5620</v>
      </c>
      <c r="D140" s="1589"/>
      <c r="E140" s="501" t="str">
        <f>+'Jrnl Exp ~ Dép'!CN$8</f>
        <v>Disponible ~ Available</v>
      </c>
      <c r="F140" s="540">
        <f>IF($K$1=2,'Jrnl Exp ~ Dép'!CW$13,'Jrnl Exp ~ Dép'!CW$14)</f>
        <v>0</v>
      </c>
      <c r="G140" s="1589"/>
      <c r="H140" s="202"/>
      <c r="I140" s="1207">
        <f>'Jrnl Exp ~ Dép'!CN$516</f>
        <v>0</v>
      </c>
      <c r="J140" s="1215">
        <f t="shared" si="9"/>
        <v>0</v>
      </c>
      <c r="L140" s="21"/>
    </row>
    <row r="141" spans="2:12" s="12" customFormat="1" ht="33" customHeight="1" thickTop="1" thickBot="1" x14ac:dyDescent="0.25">
      <c r="B141" s="1608"/>
      <c r="C141" s="147">
        <f>'Jrnl Exp ~ Dép'!CO$6</f>
        <v>5630</v>
      </c>
      <c r="D141" s="1589"/>
      <c r="E141" s="501" t="str">
        <f>+'Jrnl Exp ~ Dép'!CO$8</f>
        <v>Disponible ~ Available</v>
      </c>
      <c r="F141" s="540">
        <f>IF($K$1=2,'Jrnl Exp ~ Dép'!CX4,'Jrnl Exp ~ Dép'!CX$14)</f>
        <v>0</v>
      </c>
      <c r="G141" s="1589"/>
      <c r="H141" s="202"/>
      <c r="I141" s="1207">
        <f>'Jrnl Exp ~ Dép'!CO$516</f>
        <v>0</v>
      </c>
      <c r="J141" s="1215">
        <f t="shared" si="9"/>
        <v>0</v>
      </c>
      <c r="L141" s="21"/>
    </row>
    <row r="142" spans="2:12" s="12" customFormat="1" ht="33" customHeight="1" thickTop="1" thickBot="1" x14ac:dyDescent="0.25">
      <c r="B142" s="1608"/>
      <c r="C142" s="147">
        <f>'Jrnl Exp ~ Dép'!CP$6</f>
        <v>5640</v>
      </c>
      <c r="D142" s="1589"/>
      <c r="E142" s="501" t="str">
        <f>+'Jrnl Exp ~ Dép'!CP$8</f>
        <v>Disponible ~ Available</v>
      </c>
      <c r="F142" s="540">
        <f>IF($K$1=2,'Jrnl Exp ~ Dép'!CY$13,'Jrnl Exp ~ Dép'!CY$14)</f>
        <v>0</v>
      </c>
      <c r="G142" s="1589"/>
      <c r="H142" s="202"/>
      <c r="I142" s="1207">
        <f>'Jrnl Exp ~ Dép'!CP$516</f>
        <v>0</v>
      </c>
      <c r="J142" s="1215">
        <f t="shared" si="9"/>
        <v>0</v>
      </c>
      <c r="L142" s="21"/>
    </row>
    <row r="143" spans="2:12" s="12" customFormat="1" ht="33" customHeight="1" thickTop="1" thickBot="1" x14ac:dyDescent="0.25">
      <c r="B143" s="1608"/>
      <c r="C143" s="147">
        <f>'Jrnl Exp ~ Dép'!CQ$6</f>
        <v>5650</v>
      </c>
      <c r="D143" s="1589"/>
      <c r="E143" s="501" t="str">
        <f>+'Jrnl Exp ~ Dép'!CQ$8</f>
        <v>Disponible ~ Available</v>
      </c>
      <c r="F143" s="540">
        <f>IF($K$1=2,'Jrnl Exp ~ Dép'!CZ$13,'Jrnl Exp ~ Dép'!CZ$14)</f>
        <v>0</v>
      </c>
      <c r="G143" s="1589"/>
      <c r="H143" s="202"/>
      <c r="I143" s="1207">
        <f>'Jrnl Exp ~ Dép'!CQ$516</f>
        <v>0</v>
      </c>
      <c r="J143" s="1215">
        <f t="shared" si="9"/>
        <v>0</v>
      </c>
      <c r="L143" s="21"/>
    </row>
    <row r="144" spans="2:12" s="12" customFormat="1" ht="33" customHeight="1" thickTop="1" thickBot="1" x14ac:dyDescent="0.25">
      <c r="B144" s="1608"/>
      <c r="C144" s="147">
        <f>'Jrnl Exp ~ Dép'!CR$6</f>
        <v>5660</v>
      </c>
      <c r="D144" s="1589"/>
      <c r="E144" s="501" t="str">
        <f>+'Jrnl Exp ~ Dép'!CR$8</f>
        <v>Disponible ~ Available</v>
      </c>
      <c r="F144" s="540">
        <f>IF($K$1=2,'Jrnl Exp ~ Dép'!DA$13,'Jrnl Exp ~ Dép'!DA$14)</f>
        <v>0</v>
      </c>
      <c r="G144" s="1589"/>
      <c r="H144" s="202"/>
      <c r="I144" s="1207">
        <f>'Jrnl Exp ~ Dép'!CR$516</f>
        <v>0</v>
      </c>
      <c r="J144" s="1215">
        <f t="shared" si="9"/>
        <v>0</v>
      </c>
      <c r="L144" s="21"/>
    </row>
    <row r="145" spans="2:12" s="12" customFormat="1" ht="33" customHeight="1" thickTop="1" thickBot="1" x14ac:dyDescent="0.25">
      <c r="B145" s="1608"/>
      <c r="C145" s="147">
        <f>'Jrnl Exp ~ Dép'!CS$6</f>
        <v>5670</v>
      </c>
      <c r="D145" s="1589"/>
      <c r="E145" s="501" t="str">
        <f>+'Jrnl Exp ~ Dép'!CS$8</f>
        <v>Disponible ~ Available</v>
      </c>
      <c r="F145" s="540">
        <f>IF($K$1=2,'Jrnl Exp ~ Dép'!DB$13,'Jrnl Exp ~ Dép'!DB$14)</f>
        <v>0</v>
      </c>
      <c r="G145" s="1589"/>
      <c r="H145" s="202"/>
      <c r="I145" s="1207">
        <f>'Jrnl Exp ~ Dép'!CS$516</f>
        <v>0</v>
      </c>
      <c r="J145" s="1215">
        <f t="shared" si="9"/>
        <v>0</v>
      </c>
      <c r="L145" s="21"/>
    </row>
    <row r="146" spans="2:12" s="12" customFormat="1" ht="33" customHeight="1" thickTop="1" thickBot="1" x14ac:dyDescent="0.25">
      <c r="B146" s="1608"/>
      <c r="C146" s="147">
        <f>'Jrnl Exp ~ Dép'!CT$6</f>
        <v>5680</v>
      </c>
      <c r="D146" s="1589"/>
      <c r="E146" s="501" t="str">
        <f>+'Jrnl Exp ~ Dép'!CT$8</f>
        <v>Disponible ~ Available</v>
      </c>
      <c r="F146" s="540">
        <f>IF($K$1=2,'Jrnl Exp ~ Dép'!DC$13,'Jrnl Exp ~ Dép'!DC$14)</f>
        <v>0</v>
      </c>
      <c r="G146" s="1589"/>
      <c r="H146" s="202"/>
      <c r="I146" s="1207">
        <f>'Jrnl Exp ~ Dép'!CT$516</f>
        <v>0</v>
      </c>
      <c r="J146" s="1215">
        <f t="shared" si="9"/>
        <v>0</v>
      </c>
      <c r="L146" s="21"/>
    </row>
    <row r="147" spans="2:12" s="12" customFormat="1" ht="33" customHeight="1" thickTop="1" thickBot="1" x14ac:dyDescent="0.25">
      <c r="B147" s="1609"/>
      <c r="C147" s="541">
        <f>'Jrnl Exp ~ Dép'!CU$6</f>
        <v>5690</v>
      </c>
      <c r="D147" s="1589"/>
      <c r="E147" s="542" t="str">
        <f>+'Jrnl Exp ~ Dép'!CU$8</f>
        <v>Disponible ~ Available</v>
      </c>
      <c r="F147" s="538">
        <f>IF($K$1=2,'Jrnl Exp ~ Dép'!DD$13,'Jrnl Exp ~ Dép'!DD$14)</f>
        <v>0</v>
      </c>
      <c r="G147" s="1589"/>
      <c r="H147" s="203"/>
      <c r="I147" s="1206">
        <f>'Jrnl Exp ~ Dép'!CU$516</f>
        <v>0</v>
      </c>
      <c r="J147" s="1216">
        <f t="shared" si="9"/>
        <v>0</v>
      </c>
      <c r="L147" s="21"/>
    </row>
    <row r="148" spans="2:12" s="12" customFormat="1" ht="33" customHeight="1" thickTop="1" thickBot="1" x14ac:dyDescent="0.25">
      <c r="B148" s="1607" t="str">
        <f>CONCATENATE('Jrnl Exp ~ Dép'!CV4," - ",'Jrnl Exp ~ Dép'!CV5)</f>
        <v>5700 - Expenses - Other Fundraising</v>
      </c>
      <c r="C148" s="522">
        <f>'Jrnl Exp ~ Dép'!CV$6</f>
        <v>5710</v>
      </c>
      <c r="D148" s="1589"/>
      <c r="E148" s="523" t="str">
        <f>+'Jrnl Exp ~ Dép'!CV$8</f>
        <v>Tagging
Expenses
Fall</v>
      </c>
      <c r="F148" s="524">
        <f>IF($K$1=2,'Jrnl Exp ~ Dép'!CV$13,'Jrnl Exp ~ Dép'!CV$14)</f>
        <v>0</v>
      </c>
      <c r="G148" s="1589"/>
      <c r="H148" s="200"/>
      <c r="I148" s="1204">
        <f>'Jrnl Exp ~ Dép'!CV$516</f>
        <v>0</v>
      </c>
      <c r="J148" s="1213">
        <f t="shared" si="9"/>
        <v>0</v>
      </c>
      <c r="L148" s="21"/>
    </row>
    <row r="149" spans="2:12" s="566" customFormat="1" ht="33" customHeight="1" thickTop="1" thickBot="1" x14ac:dyDescent="0.25">
      <c r="B149" s="1608"/>
      <c r="C149" s="147">
        <f>'Jrnl Exp ~ Dép'!CW$6</f>
        <v>5720</v>
      </c>
      <c r="D149" s="1589"/>
      <c r="E149" s="501" t="str">
        <f>+'Jrnl Exp ~ Dép'!CW$8</f>
        <v>Tagging
Expenses
Spring</v>
      </c>
      <c r="F149" s="540">
        <f>IF($K$1=2,'Jrnl Exp ~ Dép'!CW$13,'Jrnl Exp ~ Dép'!CW$14)</f>
        <v>0</v>
      </c>
      <c r="G149" s="1589"/>
      <c r="H149" s="202"/>
      <c r="I149" s="1207">
        <f>'Jrnl Exp ~ Dép'!CW$516</f>
        <v>0</v>
      </c>
      <c r="J149" s="1215">
        <f t="shared" si="9"/>
        <v>0</v>
      </c>
      <c r="L149" s="21"/>
    </row>
    <row r="150" spans="2:12" s="12" customFormat="1" ht="33" customHeight="1" thickTop="1" thickBot="1" x14ac:dyDescent="0.25">
      <c r="B150" s="1608"/>
      <c r="C150" s="147">
        <f>'Jrnl Exp ~ Dép'!CX$6</f>
        <v>5730</v>
      </c>
      <c r="D150" s="1589"/>
      <c r="E150" s="501" t="str">
        <f>+'Jrnl Exp ~ Dép'!CX$8</f>
        <v>Bottle Drive
Expenses</v>
      </c>
      <c r="F150" s="540">
        <f>IF($K$1=2,'Jrnl Exp ~ Dép'!CX13,'Jrnl Exp ~ Dép'!CX$14)</f>
        <v>0</v>
      </c>
      <c r="G150" s="1589"/>
      <c r="H150" s="202"/>
      <c r="I150" s="1207">
        <f>'Jrnl Exp ~ Dép'!CX$516</f>
        <v>0</v>
      </c>
      <c r="J150" s="1215">
        <f t="shared" si="9"/>
        <v>0</v>
      </c>
      <c r="L150" s="21"/>
    </row>
    <row r="151" spans="2:12" s="12" customFormat="1" ht="33" customHeight="1" thickTop="1" thickBot="1" x14ac:dyDescent="0.25">
      <c r="B151" s="1608"/>
      <c r="C151" s="147">
        <f>'Jrnl Exp ~ Dép'!CY$6</f>
        <v>5740</v>
      </c>
      <c r="D151" s="1589"/>
      <c r="E151" s="501" t="str">
        <f>+'Jrnl Exp ~ Dép'!CY$8</f>
        <v>Disponible ~ Available</v>
      </c>
      <c r="F151" s="540">
        <f>IF($K$1=2,'Jrnl Exp ~ Dép'!CY$13,'Jrnl Exp ~ Dép'!CY$14)</f>
        <v>0</v>
      </c>
      <c r="G151" s="1589"/>
      <c r="H151" s="202"/>
      <c r="I151" s="1207">
        <f>'Jrnl Exp ~ Dép'!CY$516</f>
        <v>0</v>
      </c>
      <c r="J151" s="1215">
        <f t="shared" si="9"/>
        <v>0</v>
      </c>
      <c r="L151" s="21"/>
    </row>
    <row r="152" spans="2:12" s="12" customFormat="1" ht="33" customHeight="1" thickTop="1" thickBot="1" x14ac:dyDescent="0.25">
      <c r="B152" s="1608"/>
      <c r="C152" s="147">
        <f>'Jrnl Exp ~ Dép'!CZ$6</f>
        <v>5750</v>
      </c>
      <c r="D152" s="1589"/>
      <c r="E152" s="501" t="str">
        <f>+'Jrnl Exp ~ Dép'!CZ$8</f>
        <v>Disponible ~ Available</v>
      </c>
      <c r="F152" s="540">
        <f>IF($K$1=2,'Jrnl Exp ~ Dép'!CZ$13,'Jrnl Exp ~ Dép'!CZ$14)</f>
        <v>0</v>
      </c>
      <c r="G152" s="1589"/>
      <c r="H152" s="202"/>
      <c r="I152" s="1207">
        <f>'Jrnl Exp ~ Dép'!CZ$516</f>
        <v>0</v>
      </c>
      <c r="J152" s="1215">
        <f t="shared" si="9"/>
        <v>0</v>
      </c>
      <c r="L152" s="21"/>
    </row>
    <row r="153" spans="2:12" s="12" customFormat="1" ht="33" customHeight="1" thickTop="1" thickBot="1" x14ac:dyDescent="0.25">
      <c r="B153" s="1608"/>
      <c r="C153" s="147">
        <f>'Jrnl Exp ~ Dép'!DA$6</f>
        <v>5760</v>
      </c>
      <c r="D153" s="1589"/>
      <c r="E153" s="501" t="str">
        <f>+'Jrnl Exp ~ Dép'!DA$8</f>
        <v>Disponible ~ Available</v>
      </c>
      <c r="F153" s="540">
        <f>IF($K$1=2,'Jrnl Exp ~ Dép'!DA$13,'Jrnl Exp ~ Dép'!DA$14)</f>
        <v>0</v>
      </c>
      <c r="G153" s="1589"/>
      <c r="H153" s="202"/>
      <c r="I153" s="1207">
        <f>'Jrnl Exp ~ Dép'!DA$516</f>
        <v>0</v>
      </c>
      <c r="J153" s="1215">
        <f t="shared" si="9"/>
        <v>0</v>
      </c>
      <c r="L153" s="21"/>
    </row>
    <row r="154" spans="2:12" s="12" customFormat="1" ht="33" customHeight="1" thickTop="1" thickBot="1" x14ac:dyDescent="0.25">
      <c r="B154" s="1608"/>
      <c r="C154" s="147">
        <f>'Jrnl Exp ~ Dép'!DB$6</f>
        <v>5770</v>
      </c>
      <c r="D154" s="1589"/>
      <c r="E154" s="501" t="str">
        <f>+'Jrnl Exp ~ Dép'!DB$8</f>
        <v>Disponible ~ Available</v>
      </c>
      <c r="F154" s="540">
        <f>IF($K$1=2,'Jrnl Exp ~ Dép'!DB$13,'Jrnl Exp ~ Dép'!DB$14)</f>
        <v>0</v>
      </c>
      <c r="G154" s="1589"/>
      <c r="H154" s="202"/>
      <c r="I154" s="1207">
        <f>'Jrnl Exp ~ Dép'!DB$516</f>
        <v>0</v>
      </c>
      <c r="J154" s="1215">
        <f t="shared" si="9"/>
        <v>0</v>
      </c>
      <c r="L154" s="21"/>
    </row>
    <row r="155" spans="2:12" s="12" customFormat="1" ht="33" customHeight="1" thickTop="1" thickBot="1" x14ac:dyDescent="0.25">
      <c r="B155" s="1608"/>
      <c r="C155" s="147">
        <f>'Jrnl Exp ~ Dép'!DC$6</f>
        <v>5780</v>
      </c>
      <c r="D155" s="1589"/>
      <c r="E155" s="501" t="str">
        <f>+'Jrnl Exp ~ Dép'!DC$8</f>
        <v>Disponible ~ Available</v>
      </c>
      <c r="F155" s="540">
        <f>IF($K$1=2,'Jrnl Exp ~ Dép'!DC$13,'Jrnl Exp ~ Dép'!DC$14)</f>
        <v>0</v>
      </c>
      <c r="G155" s="1589"/>
      <c r="H155" s="202"/>
      <c r="I155" s="1207">
        <f>'Jrnl Exp ~ Dép'!DC$516</f>
        <v>0</v>
      </c>
      <c r="J155" s="1215">
        <f t="shared" si="9"/>
        <v>0</v>
      </c>
      <c r="L155" s="21"/>
    </row>
    <row r="156" spans="2:12" s="12" customFormat="1" ht="33" customHeight="1" thickTop="1" thickBot="1" x14ac:dyDescent="0.25">
      <c r="B156" s="1609"/>
      <c r="C156" s="541">
        <f>'Jrnl Exp ~ Dép'!DD$6</f>
        <v>5790</v>
      </c>
      <c r="D156" s="1589"/>
      <c r="E156" s="542" t="str">
        <f>+'Jrnl Exp ~ Dép'!DD$8</f>
        <v>Disponible ~ Available</v>
      </c>
      <c r="F156" s="538">
        <f>IF($K$1=2,'Jrnl Exp ~ Dép'!DD$13,'Jrnl Exp ~ Dép'!DD$14)</f>
        <v>0</v>
      </c>
      <c r="G156" s="1589"/>
      <c r="H156" s="203"/>
      <c r="I156" s="1206">
        <f>'Jrnl Exp ~ Dép'!DD$516</f>
        <v>0</v>
      </c>
      <c r="J156" s="1216">
        <f t="shared" si="9"/>
        <v>0</v>
      </c>
      <c r="L156" s="21"/>
    </row>
    <row r="157" spans="2:12" s="12" customFormat="1" ht="33" customHeight="1" thickTop="1" thickBot="1" x14ac:dyDescent="0.25">
      <c r="B157" s="1607" t="str">
        <f>CONCATENATE('Jrnl Exp ~ Dép'!DE4," - ",'Jrnl Exp ~ Dép'!DE5)</f>
        <v>5800 - Other Expenses</v>
      </c>
      <c r="C157" s="522">
        <f>'Jrnl Exp ~ Dép'!DE$6</f>
        <v>5810</v>
      </c>
      <c r="D157" s="1589"/>
      <c r="E157" s="523" t="str">
        <f>+'Jrnl Exp ~ Dép'!DE$8</f>
        <v>Donations to other Qualified Donnees</v>
      </c>
      <c r="F157" s="567" t="str">
        <f>IF(K1=2,"Don à un autre organisme de bienfaisance enregistré","Donation to another Registered Charity")</f>
        <v>Donation to another Registered Charity</v>
      </c>
      <c r="G157" s="1589"/>
      <c r="H157" s="200"/>
      <c r="I157" s="1204">
        <f>'Jrnl Exp ~ Dép'!DE$516</f>
        <v>0</v>
      </c>
      <c r="J157" s="1213">
        <f t="shared" si="9"/>
        <v>0</v>
      </c>
      <c r="L157" s="21"/>
    </row>
    <row r="158" spans="2:12" s="12" customFormat="1" ht="33" customHeight="1" thickTop="1" thickBot="1" x14ac:dyDescent="0.25">
      <c r="B158" s="1608"/>
      <c r="C158" s="147">
        <f>'Jrnl Exp ~ Dép'!DF$6</f>
        <v>5820</v>
      </c>
      <c r="D158" s="1589"/>
      <c r="E158" s="501" t="str">
        <f>+'Jrnl Exp ~ Dép'!DF$8</f>
        <v>Bad Debts</v>
      </c>
      <c r="F158" s="535"/>
      <c r="G158" s="1589"/>
      <c r="H158" s="202"/>
      <c r="I158" s="1207">
        <f>'Jrnl Exp ~ Dép'!DF$516</f>
        <v>0</v>
      </c>
      <c r="J158" s="1215">
        <f t="shared" si="9"/>
        <v>0</v>
      </c>
      <c r="L158" s="21"/>
    </row>
    <row r="159" spans="2:12" s="12" customFormat="1" ht="33" customHeight="1" thickTop="1" thickBot="1" x14ac:dyDescent="0.25">
      <c r="B159" s="1608"/>
      <c r="C159" s="147">
        <f>'Jrnl Exp ~ Dép'!DG$6</f>
        <v>5830</v>
      </c>
      <c r="D159" s="1589"/>
      <c r="E159" s="501" t="str">
        <f>+'Jrnl Exp ~ Dép'!DG$8</f>
        <v>Capital Losses</v>
      </c>
      <c r="F159" s="535">
        <f>IF($K$1=2,'Jrnl Exp ~ Dép'!DG$13,'Jrnl Exp ~ Dép'!DG$14)</f>
        <v>0</v>
      </c>
      <c r="G159" s="1589"/>
      <c r="H159" s="202"/>
      <c r="I159" s="1207">
        <f>'Jrnl Exp ~ Dép'!DG$516</f>
        <v>0</v>
      </c>
      <c r="J159" s="1215">
        <f t="shared" si="9"/>
        <v>0</v>
      </c>
      <c r="L159" s="21"/>
    </row>
    <row r="160" spans="2:12" s="12" customFormat="1" ht="33" customHeight="1" thickTop="1" thickBot="1" x14ac:dyDescent="0.25">
      <c r="B160" s="1608"/>
      <c r="C160" s="147">
        <f>'Jrnl Exp ~ Dép'!DH$6</f>
        <v>5840</v>
      </c>
      <c r="D160" s="1589"/>
      <c r="E160" s="501" t="str">
        <f>+'Jrnl Exp ~ Dép'!DH$8</f>
        <v>Purchase of Sqn Logo Items</v>
      </c>
      <c r="F160" s="535">
        <f>IF($K$1=2,'Jrnl Exp ~ Dép'!DH$13,'Jrnl Exp ~ Dép'!DH$14)</f>
        <v>0</v>
      </c>
      <c r="G160" s="1589"/>
      <c r="H160" s="202"/>
      <c r="I160" s="1207">
        <f>'Jrnl Exp ~ Dép'!DH$516</f>
        <v>0</v>
      </c>
      <c r="J160" s="1215">
        <f t="shared" si="9"/>
        <v>0</v>
      </c>
      <c r="L160" s="21"/>
    </row>
    <row r="161" spans="2:12" s="12" customFormat="1" ht="33" customHeight="1" thickTop="1" thickBot="1" x14ac:dyDescent="0.25">
      <c r="B161" s="1608"/>
      <c r="C161" s="147">
        <f>'Jrnl Exp ~ Dép'!DI$6</f>
        <v>5850</v>
      </c>
      <c r="D161" s="1589"/>
      <c r="E161" s="501" t="str">
        <f>+'Jrnl Exp ~ Dép'!DI$8</f>
        <v>Purchase for Canteen</v>
      </c>
      <c r="F161" s="535">
        <f>IF($K$1=2,'Jrnl Exp ~ Dép'!DI$13,'Jrnl Exp ~ Dép'!DI$14)</f>
        <v>0</v>
      </c>
      <c r="G161" s="1589"/>
      <c r="H161" s="202"/>
      <c r="I161" s="1207">
        <f>'Jrnl Exp ~ Dép'!DI$516</f>
        <v>0</v>
      </c>
      <c r="J161" s="1215">
        <f t="shared" si="9"/>
        <v>0</v>
      </c>
      <c r="L161" s="21"/>
    </row>
    <row r="162" spans="2:12" s="12" customFormat="1" ht="33" customHeight="1" thickTop="1" thickBot="1" x14ac:dyDescent="0.25">
      <c r="B162" s="1608"/>
      <c r="C162" s="147">
        <f>'Jrnl Exp ~ Dép'!DJ$6</f>
        <v>5860</v>
      </c>
      <c r="D162" s="1589"/>
      <c r="E162" s="501" t="str">
        <f>+'Jrnl Exp ~ Dép'!DJ$8</f>
        <v>Expenses from previous years</v>
      </c>
      <c r="F162" s="535">
        <f>IF($K$1=2,'Jrnl Exp ~ Dép'!DJ$13,'Jrnl Exp ~ Dép'!DJ$14)</f>
        <v>0</v>
      </c>
      <c r="G162" s="1589"/>
      <c r="H162" s="202"/>
      <c r="I162" s="1207">
        <f>'Jrnl Exp ~ Dép'!DJ$516</f>
        <v>0</v>
      </c>
      <c r="J162" s="1215">
        <f t="shared" si="9"/>
        <v>0</v>
      </c>
      <c r="L162" s="21"/>
    </row>
    <row r="163" spans="2:12" s="12" customFormat="1" ht="33" customHeight="1" thickTop="1" thickBot="1" x14ac:dyDescent="0.25">
      <c r="B163" s="1608"/>
      <c r="C163" s="147">
        <f>'Jrnl Exp ~ Dép'!DK$6</f>
        <v>5870</v>
      </c>
      <c r="D163" s="1589"/>
      <c r="E163" s="501" t="str">
        <f>+'Jrnl Exp ~ Dép'!DK$8</f>
        <v>Disponible ~ Available</v>
      </c>
      <c r="F163" s="535">
        <f>IF($K$1=2,'Jrnl Exp ~ Dép'!DK$13,'Jrnl Exp ~ Dép'!DK$14)</f>
        <v>0</v>
      </c>
      <c r="G163" s="1589"/>
      <c r="H163" s="202"/>
      <c r="I163" s="1207">
        <f>'Jrnl Exp ~ Dép'!DK$516</f>
        <v>0</v>
      </c>
      <c r="J163" s="1215">
        <f t="shared" si="9"/>
        <v>0</v>
      </c>
      <c r="L163" s="21"/>
    </row>
    <row r="164" spans="2:12" s="12" customFormat="1" ht="33" customHeight="1" thickTop="1" thickBot="1" x14ac:dyDescent="0.25">
      <c r="B164" s="1609"/>
      <c r="C164" s="541">
        <f>'Jrnl Exp ~ Dép'!DL$6</f>
        <v>5880</v>
      </c>
      <c r="D164" s="1589"/>
      <c r="E164" s="537" t="str">
        <f>+'Jrnl Exp ~ Dép'!DL$8</f>
        <v>Other Expenses (Must not be Excessive)</v>
      </c>
      <c r="F164" s="538"/>
      <c r="G164" s="1589"/>
      <c r="H164" s="205"/>
      <c r="I164" s="1224">
        <f>'Jrnl Exp ~ Dép'!DL$516</f>
        <v>0</v>
      </c>
      <c r="J164" s="1225">
        <f t="shared" si="9"/>
        <v>0</v>
      </c>
      <c r="L164" s="21"/>
    </row>
    <row r="165" spans="2:12" s="12" customFormat="1" ht="6.75" customHeight="1" thickTop="1" x14ac:dyDescent="0.2">
      <c r="B165" s="25"/>
      <c r="C165" s="27"/>
      <c r="D165" s="27"/>
      <c r="E165" s="568"/>
      <c r="F165" s="24"/>
      <c r="G165" s="24"/>
      <c r="H165" s="543"/>
      <c r="I165" s="569"/>
      <c r="J165" s="543"/>
    </row>
    <row r="166" spans="2:12" s="12" customFormat="1" ht="18.75" customHeight="1" x14ac:dyDescent="0.2">
      <c r="B166" s="25"/>
      <c r="C166" s="27"/>
      <c r="D166" s="27"/>
      <c r="E166" s="1606" t="str">
        <f>IF(K1=2,"Sous-Total","Sub-Total")</f>
        <v>Sub-Total</v>
      </c>
      <c r="F166" s="1606"/>
      <c r="G166" s="1606"/>
      <c r="H166" s="571">
        <f>SUM(H64:H90,H95,H100:H123,H131:H164)</f>
        <v>0</v>
      </c>
      <c r="I166" s="571">
        <f>SUM(I64:I90,I95,I100:I123,I131:I164)</f>
        <v>0</v>
      </c>
      <c r="J166" s="571">
        <f>IF($I166=0,0,$H166-$I166)</f>
        <v>0</v>
      </c>
    </row>
    <row r="167" spans="2:12" s="1" customFormat="1" ht="6" customHeight="1" x14ac:dyDescent="0.2"/>
    <row r="168" spans="2:12" s="1" customFormat="1" ht="23.25" customHeight="1" x14ac:dyDescent="0.2"/>
    <row r="169" spans="2:12" s="1" customFormat="1" ht="24" customHeight="1" x14ac:dyDescent="0.2"/>
    <row r="170" spans="2:12" s="1" customFormat="1" ht="12.75" customHeight="1" x14ac:dyDescent="0.2"/>
    <row r="171" spans="2:12" s="1" customFormat="1" ht="43.5" customHeight="1" x14ac:dyDescent="0.2"/>
    <row r="172" spans="2:12" s="1" customFormat="1" ht="24.75" customHeight="1" x14ac:dyDescent="0.2"/>
    <row r="173" spans="2:12" s="1" customFormat="1" ht="24.75" customHeight="1" x14ac:dyDescent="0.2"/>
    <row r="174" spans="2:12" s="1" customFormat="1" ht="24.75" customHeight="1" x14ac:dyDescent="0.2"/>
    <row r="175" spans="2:12" s="1" customFormat="1" ht="24.75" customHeight="1" x14ac:dyDescent="0.2"/>
    <row r="176" spans="2:12" s="1" customFormat="1" ht="24.75" customHeight="1" x14ac:dyDescent="0.2"/>
    <row r="177" s="1" customFormat="1" ht="24.75" customHeight="1" x14ac:dyDescent="0.2"/>
    <row r="178" s="1" customFormat="1" ht="24.75" customHeight="1" x14ac:dyDescent="0.2"/>
    <row r="179" s="1" customFormat="1" ht="24.75" customHeight="1" x14ac:dyDescent="0.2"/>
    <row r="180" s="1" customFormat="1" ht="24.75" customHeight="1" x14ac:dyDescent="0.2"/>
    <row r="181" s="1" customFormat="1" ht="24.75" customHeight="1" x14ac:dyDescent="0.2"/>
    <row r="182" s="1" customFormat="1" ht="24.75" customHeight="1" x14ac:dyDescent="0.2"/>
    <row r="183" s="1" customFormat="1" ht="24.75" customHeight="1" x14ac:dyDescent="0.2"/>
    <row r="184" s="1" customFormat="1" ht="24.75" customHeight="1" x14ac:dyDescent="0.2"/>
    <row r="185" s="1" customFormat="1" ht="24.75" customHeight="1" x14ac:dyDescent="0.2"/>
    <row r="186" s="1" customFormat="1" ht="24.75" customHeight="1" x14ac:dyDescent="0.2"/>
    <row r="187" s="1" customFormat="1" ht="24.75" customHeight="1" x14ac:dyDescent="0.2"/>
    <row r="188" s="1" customFormat="1" ht="24.75" customHeight="1" x14ac:dyDescent="0.2"/>
    <row r="189" s="1" customFormat="1" ht="24.75" customHeight="1" x14ac:dyDescent="0.2"/>
    <row r="190" s="1" customFormat="1" ht="24.75" customHeight="1" x14ac:dyDescent="0.2"/>
    <row r="191" s="1" customFormat="1" ht="24.75" customHeight="1" x14ac:dyDescent="0.2"/>
    <row r="192" s="1" customFormat="1" ht="24.75" customHeight="1" x14ac:dyDescent="0.2"/>
    <row r="193" s="1" customFormat="1" ht="24.75" customHeight="1" x14ac:dyDescent="0.2"/>
    <row r="194" s="1" customFormat="1" ht="24.75" customHeight="1" x14ac:dyDescent="0.2"/>
    <row r="195" s="1" customFormat="1" ht="24.75" customHeight="1" x14ac:dyDescent="0.2"/>
    <row r="196" s="1" customFormat="1" ht="24.75" customHeight="1" x14ac:dyDescent="0.2"/>
    <row r="197" s="1" customFormat="1" ht="24.75" customHeight="1" x14ac:dyDescent="0.2"/>
    <row r="198" s="1" customFormat="1" ht="24.75" customHeight="1" x14ac:dyDescent="0.2"/>
    <row r="199" s="1" customFormat="1" ht="24.75" customHeight="1" x14ac:dyDescent="0.2"/>
    <row r="200" s="1" customFormat="1" ht="24.75" customHeight="1" x14ac:dyDescent="0.2"/>
    <row r="201" s="1" customFormat="1" ht="24.75" customHeight="1" x14ac:dyDescent="0.2"/>
    <row r="202" s="1" customFormat="1" ht="24.75" customHeight="1" x14ac:dyDescent="0.2"/>
    <row r="203" s="1" customFormat="1" ht="24.75" customHeight="1" x14ac:dyDescent="0.2"/>
    <row r="204" s="1" customFormat="1" ht="24.75" customHeight="1" x14ac:dyDescent="0.2"/>
    <row r="205" s="1" customFormat="1" ht="24.75" customHeight="1" x14ac:dyDescent="0.2"/>
    <row r="206" s="1" customFormat="1" ht="24.75" customHeight="1" x14ac:dyDescent="0.2"/>
    <row r="207" s="1" customFormat="1" ht="24.75" customHeight="1" x14ac:dyDescent="0.2"/>
    <row r="208" s="1" customFormat="1" ht="24.75" customHeight="1" x14ac:dyDescent="0.2"/>
    <row r="209" spans="8:10" ht="24.75" customHeight="1" x14ac:dyDescent="0.2"/>
    <row r="210" spans="8:10" ht="24.75" customHeight="1" x14ac:dyDescent="0.2"/>
    <row r="211" spans="8:10" s="1" customFormat="1" ht="24.75" customHeight="1" x14ac:dyDescent="0.2">
      <c r="H211" s="572"/>
      <c r="I211" s="198"/>
      <c r="J211" s="572"/>
    </row>
    <row r="212" spans="8:10" s="1" customFormat="1" ht="24.75" customHeight="1" x14ac:dyDescent="0.2">
      <c r="H212" s="572"/>
      <c r="I212" s="198"/>
      <c r="J212" s="572"/>
    </row>
    <row r="213" spans="8:10" s="1" customFormat="1" ht="24.75" customHeight="1" x14ac:dyDescent="0.2">
      <c r="H213" s="572"/>
      <c r="I213" s="198"/>
      <c r="J213" s="572"/>
    </row>
    <row r="214" spans="8:10" s="1" customFormat="1" ht="24.75" customHeight="1" x14ac:dyDescent="0.2">
      <c r="H214" s="572"/>
      <c r="I214" s="198"/>
      <c r="J214" s="572"/>
    </row>
    <row r="215" spans="8:10" s="1" customFormat="1" ht="24.75" customHeight="1" x14ac:dyDescent="0.2">
      <c r="H215" s="572"/>
      <c r="I215" s="198"/>
      <c r="J215" s="572"/>
    </row>
    <row r="216" spans="8:10" s="1" customFormat="1" ht="24.75" customHeight="1" x14ac:dyDescent="0.2">
      <c r="H216" s="572"/>
      <c r="I216" s="198"/>
      <c r="J216" s="572"/>
    </row>
    <row r="217" spans="8:10" s="1" customFormat="1" ht="24.75" customHeight="1" x14ac:dyDescent="0.2">
      <c r="H217" s="572"/>
      <c r="I217" s="198"/>
      <c r="J217" s="572"/>
    </row>
    <row r="218" spans="8:10" s="1" customFormat="1" ht="24.75" customHeight="1" x14ac:dyDescent="0.2">
      <c r="H218" s="572"/>
    </row>
    <row r="219" spans="8:10" s="1" customFormat="1" ht="24.75" customHeight="1" x14ac:dyDescent="0.2">
      <c r="H219" s="572"/>
    </row>
    <row r="220" spans="8:10" s="1" customFormat="1" ht="18.75" customHeight="1" x14ac:dyDescent="0.2">
      <c r="H220" s="572"/>
    </row>
    <row r="221" spans="8:10" s="1" customFormat="1" ht="18.75" customHeight="1" x14ac:dyDescent="0.2">
      <c r="H221" s="572"/>
    </row>
    <row r="222" spans="8:10" s="1" customFormat="1" ht="18.75" customHeight="1" x14ac:dyDescent="0.2">
      <c r="H222" s="572"/>
    </row>
    <row r="223" spans="8:10" s="1" customFormat="1" ht="18.75" customHeight="1" x14ac:dyDescent="0.2">
      <c r="H223" s="572"/>
    </row>
    <row r="224" spans="8:10" s="1" customFormat="1" ht="18.75" customHeight="1" x14ac:dyDescent="0.2">
      <c r="H224" s="572"/>
    </row>
    <row r="225" spans="8:8" s="1" customFormat="1" ht="18.75" customHeight="1" x14ac:dyDescent="0.2">
      <c r="H225" s="572"/>
    </row>
    <row r="226" spans="8:8" s="1" customFormat="1" ht="18.75" customHeight="1" x14ac:dyDescent="0.2">
      <c r="H226" s="572"/>
    </row>
    <row r="227" spans="8:8" s="1" customFormat="1" ht="18.75" customHeight="1" x14ac:dyDescent="0.2">
      <c r="H227" s="572"/>
    </row>
    <row r="228" spans="8:8" s="1" customFormat="1" ht="18.75" customHeight="1" x14ac:dyDescent="0.2">
      <c r="H228" s="572"/>
    </row>
    <row r="229" spans="8:8" s="1" customFormat="1" ht="23.25" customHeight="1" x14ac:dyDescent="0.2">
      <c r="H229" s="572"/>
    </row>
    <row r="230" spans="8:8" s="1" customFormat="1" ht="23.25" customHeight="1" x14ac:dyDescent="0.2">
      <c r="H230" s="572"/>
    </row>
    <row r="231" spans="8:8" s="1" customFormat="1" ht="23.25" customHeight="1" x14ac:dyDescent="0.2">
      <c r="H231" s="572"/>
    </row>
    <row r="232" spans="8:8" s="1" customFormat="1" ht="23.25" customHeight="1" x14ac:dyDescent="0.2">
      <c r="H232" s="572"/>
    </row>
    <row r="233" spans="8:8" s="1" customFormat="1" ht="23.25" customHeight="1" x14ac:dyDescent="0.2">
      <c r="H233" s="572"/>
    </row>
    <row r="234" spans="8:8" s="1" customFormat="1" ht="23.25" customHeight="1" x14ac:dyDescent="0.2">
      <c r="H234" s="572"/>
    </row>
    <row r="235" spans="8:8" s="1" customFormat="1" ht="23.25" customHeight="1" x14ac:dyDescent="0.2">
      <c r="H235" s="572"/>
    </row>
    <row r="236" spans="8:8" s="1" customFormat="1" ht="23.25" customHeight="1" x14ac:dyDescent="0.2">
      <c r="H236" s="572"/>
    </row>
    <row r="237" spans="8:8" s="1" customFormat="1" ht="23.25" customHeight="1" x14ac:dyDescent="0.2">
      <c r="H237" s="572"/>
    </row>
    <row r="238" spans="8:8" s="1" customFormat="1" ht="23.25" customHeight="1" x14ac:dyDescent="0.2">
      <c r="H238" s="572"/>
    </row>
    <row r="239" spans="8:8" s="1" customFormat="1" ht="23.25" customHeight="1" x14ac:dyDescent="0.2">
      <c r="H239" s="572"/>
    </row>
    <row r="240" spans="8:8" s="1" customFormat="1" x14ac:dyDescent="0.2">
      <c r="H240" s="572"/>
    </row>
    <row r="241" spans="8:8" s="1" customFormat="1" x14ac:dyDescent="0.2">
      <c r="H241" s="572"/>
    </row>
    <row r="242" spans="8:8" s="1" customFormat="1" x14ac:dyDescent="0.2">
      <c r="H242" s="572"/>
    </row>
    <row r="243" spans="8:8" s="1" customFormat="1" x14ac:dyDescent="0.2">
      <c r="H243" s="572"/>
    </row>
    <row r="244" spans="8:8" s="1" customFormat="1" x14ac:dyDescent="0.2">
      <c r="H244" s="572"/>
    </row>
    <row r="245" spans="8:8" s="1" customFormat="1" x14ac:dyDescent="0.2">
      <c r="H245" s="572"/>
    </row>
    <row r="246" spans="8:8" s="1" customFormat="1" x14ac:dyDescent="0.2">
      <c r="H246" s="572"/>
    </row>
    <row r="247" spans="8:8" s="1" customFormat="1" x14ac:dyDescent="0.2">
      <c r="H247" s="572"/>
    </row>
    <row r="248" spans="8:8" s="1" customFormat="1" x14ac:dyDescent="0.2">
      <c r="H248" s="572"/>
    </row>
    <row r="249" spans="8:8" s="1" customFormat="1" x14ac:dyDescent="0.2">
      <c r="H249" s="572"/>
    </row>
    <row r="250" spans="8:8" s="1" customFormat="1" x14ac:dyDescent="0.2">
      <c r="H250" s="572"/>
    </row>
    <row r="251" spans="8:8" s="1" customFormat="1" x14ac:dyDescent="0.2">
      <c r="H251" s="572"/>
    </row>
    <row r="252" spans="8:8" s="1" customFormat="1" x14ac:dyDescent="0.2">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 ref="E61:G61"/>
    <mergeCell ref="B63:J63"/>
    <mergeCell ref="B64:B89"/>
    <mergeCell ref="D64:D89"/>
    <mergeCell ref="G64:G89"/>
    <mergeCell ref="B41:B49"/>
    <mergeCell ref="D41:D49"/>
    <mergeCell ref="G41:G49"/>
    <mergeCell ref="B50:B59"/>
    <mergeCell ref="D50:D59"/>
    <mergeCell ref="G50:G59"/>
    <mergeCell ref="G17:G22"/>
    <mergeCell ref="B23:B31"/>
    <mergeCell ref="D23:D31"/>
    <mergeCell ref="G23:G31"/>
    <mergeCell ref="B32:B40"/>
    <mergeCell ref="D32:D40"/>
    <mergeCell ref="G32:G40"/>
    <mergeCell ref="L6:O7"/>
    <mergeCell ref="B8:J8"/>
    <mergeCell ref="L8:M8"/>
    <mergeCell ref="N8:O8"/>
    <mergeCell ref="B9:J9"/>
    <mergeCell ref="B1:J1"/>
    <mergeCell ref="M1:N1"/>
    <mergeCell ref="B2:J2"/>
    <mergeCell ref="L2:M2"/>
    <mergeCell ref="B3:J3"/>
    <mergeCell ref="L3:M3"/>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B10" sqref="B10"/>
    </sheetView>
  </sheetViews>
  <sheetFormatPr defaultColWidth="11.42578125" defaultRowHeight="12.75" x14ac:dyDescent="0.2"/>
  <cols>
    <col min="1" max="1" width="3.140625" style="187" customWidth="1"/>
    <col min="2" max="2" width="10.28515625" style="187" customWidth="1"/>
    <col min="3" max="4" width="20.28515625" style="187" customWidth="1"/>
    <col min="5" max="5" width="29.7109375" style="187" customWidth="1"/>
    <col min="6" max="6" width="15.7109375" style="187" customWidth="1"/>
    <col min="7" max="7" width="29.7109375" style="187" customWidth="1"/>
    <col min="8" max="8" width="15.7109375" style="210" customWidth="1"/>
    <col min="9" max="9" width="29.7109375" style="210" customWidth="1"/>
    <col min="10" max="10" width="15.7109375" style="187" customWidth="1"/>
    <col min="11" max="11" width="29.7109375" style="187" customWidth="1"/>
    <col min="12" max="12" width="15.7109375" style="187" customWidth="1"/>
    <col min="13" max="13" width="29.7109375" style="187" customWidth="1"/>
    <col min="14" max="14" width="15.7109375" style="187" customWidth="1"/>
    <col min="15" max="15" width="29.7109375" style="187" customWidth="1"/>
    <col min="16" max="16" width="15.7109375" style="187" customWidth="1"/>
    <col min="17" max="21" width="20.28515625" style="187" customWidth="1"/>
    <col min="22" max="22" width="20.140625" style="187" customWidth="1"/>
    <col min="23" max="24" width="15.42578125" style="187" customWidth="1"/>
    <col min="25" max="26" width="13.85546875" style="187" customWidth="1"/>
    <col min="27" max="27" width="6.28515625" style="187" customWidth="1"/>
    <col min="28" max="28" width="31.85546875" style="187" customWidth="1"/>
    <col min="29" max="29" width="1.5703125" style="187" customWidth="1"/>
    <col min="30" max="30" width="16.42578125" style="187" hidden="1" customWidth="1"/>
    <col min="31" max="31" width="16" style="187" hidden="1" customWidth="1"/>
    <col min="32" max="33" width="9.140625" style="187" hidden="1" customWidth="1"/>
    <col min="34" max="267" width="9.140625" style="187" customWidth="1"/>
    <col min="268" max="1024" width="11.42578125" style="187"/>
  </cols>
  <sheetData>
    <row r="1" spans="1:31" ht="33.75" customHeight="1" thickBot="1" x14ac:dyDescent="0.45">
      <c r="B1" s="1615" t="str">
        <f>IF(AD7=2,"Suivi des réclamations MDN","DND Claim Tracker")</f>
        <v>DND Claim Tracker</v>
      </c>
      <c r="C1" s="1615"/>
      <c r="D1" s="1615"/>
      <c r="E1" s="1615"/>
      <c r="F1" s="1615"/>
      <c r="G1" s="1615"/>
      <c r="H1" s="1615"/>
      <c r="I1" s="1615"/>
      <c r="J1" s="1615"/>
      <c r="K1" s="1615"/>
      <c r="L1" s="1615"/>
      <c r="M1" s="1615"/>
      <c r="N1" s="1615"/>
      <c r="O1" s="1615"/>
      <c r="P1" s="1615"/>
      <c r="Q1" s="1616" t="str">
        <f>IF($AD$7=2,"RÉCLAMÉ MAIS PAS REMBOURSÉ","CLAIMED BUT NOT REIMBURSED")</f>
        <v>CLAIMED BUT NOT REIMBURSED</v>
      </c>
      <c r="R1" s="1617">
        <f>AD58</f>
        <v>0</v>
      </c>
    </row>
    <row r="2" spans="1:31" ht="43.5" customHeight="1" thickTop="1" thickBot="1" x14ac:dyDescent="0.25">
      <c r="B2" s="1593" t="str">
        <f>'Set up ~ Config'!B2:J2</f>
        <v xml:space="preserve">SSC </v>
      </c>
      <c r="C2" s="1593"/>
      <c r="D2" s="1593"/>
      <c r="E2" s="1593"/>
      <c r="F2" s="1593"/>
      <c r="G2" s="1593"/>
      <c r="H2" s="1593"/>
      <c r="I2" s="1593"/>
      <c r="J2" s="1593"/>
      <c r="K2" s="1593"/>
      <c r="L2" s="1593"/>
      <c r="M2" s="1593"/>
      <c r="N2" s="1593"/>
      <c r="O2" s="1593"/>
      <c r="P2" s="1593"/>
      <c r="Q2" s="1616"/>
      <c r="R2" s="1617"/>
      <c r="U2" s="1618" t="str">
        <f>IF($AD$7=2,AE6,AE5)</f>
        <v>The J8 Transfer Date is used to warn you that the reimbursement should be deposited after 30 days. Past this date, the next 5 colomns will turn red.</v>
      </c>
      <c r="V2" s="1618"/>
      <c r="W2" s="1618"/>
      <c r="X2" s="1618"/>
      <c r="Y2" s="1618"/>
      <c r="Z2" s="803"/>
      <c r="AA2" s="211" t="s">
        <v>40</v>
      </c>
      <c r="AB2" s="804" t="str">
        <f>IF($AD$7=2,"Inscrivez le nombre de jours après lequel vous voulez être notifié","Insert the number of days after which you want to be notified")</f>
        <v>Insert the number of days after which you want to be notified</v>
      </c>
    </row>
    <row r="3" spans="1:31" s="187" customFormat="1" ht="20.25" customHeight="1" thickTop="1" thickBot="1" x14ac:dyDescent="0.35">
      <c r="B3" s="1619" t="str">
        <f>'Jrnl Rev'!B3:P3</f>
        <v>For the period from 2024-09-01 to 2025-08-31</v>
      </c>
      <c r="C3" s="1619"/>
      <c r="D3" s="1619"/>
      <c r="E3" s="1619"/>
      <c r="F3" s="1619"/>
      <c r="G3" s="1619"/>
      <c r="H3" s="1619"/>
      <c r="I3" s="1619"/>
      <c r="J3" s="1619"/>
      <c r="K3" s="1619"/>
      <c r="L3" s="1619"/>
      <c r="M3" s="1619"/>
      <c r="N3" s="1619"/>
      <c r="O3" s="1619"/>
      <c r="P3" s="1619"/>
      <c r="Q3" s="805"/>
      <c r="U3" s="1618"/>
      <c r="V3" s="1618"/>
      <c r="W3" s="1618"/>
      <c r="X3" s="1618"/>
      <c r="Y3" s="1618"/>
      <c r="Z3" s="803"/>
      <c r="AB3" s="806">
        <v>30</v>
      </c>
    </row>
    <row r="4" spans="1:31" s="807" customFormat="1" ht="42.75" customHeight="1" thickTop="1" x14ac:dyDescent="0.4">
      <c r="B4" s="1624"/>
      <c r="C4" s="1624"/>
      <c r="D4" s="808"/>
      <c r="E4" s="1625" t="str">
        <f>IF(AD7=2,"Cet onglet est une feuille de travail seulement et n'a aucun impact sur les autres onglets.","This tab is only a Working Sheet and has no impact on other tabs.")</f>
        <v>This tab is only a Working Sheet and has no impact on other tabs.</v>
      </c>
      <c r="F4" s="1625"/>
      <c r="G4" s="1625"/>
      <c r="H4" s="1625"/>
      <c r="I4" s="1625"/>
      <c r="J4" s="1625"/>
      <c r="K4" s="1625"/>
      <c r="L4" s="1625"/>
      <c r="M4" s="1625"/>
      <c r="N4" s="1625"/>
      <c r="O4" s="1625"/>
      <c r="P4" s="1625"/>
      <c r="Q4" s="809"/>
      <c r="R4" s="810" t="str">
        <f>IF($AD$7=2,"Compte
4810","Account
4810")</f>
        <v>Account
4810</v>
      </c>
      <c r="S4" s="811" t="str">
        <f>IF($AD$7=2,"Compte
4820","Account
4820")</f>
        <v>Account
4820</v>
      </c>
      <c r="T4" s="809"/>
      <c r="U4" s="812"/>
      <c r="V4" s="812"/>
      <c r="W4" s="812"/>
      <c r="X4" s="812"/>
      <c r="Y4" s="812"/>
      <c r="Z4" s="813"/>
      <c r="AA4" s="809"/>
      <c r="AB4" s="809"/>
    </row>
    <row r="5" spans="1:31" ht="15" customHeight="1" x14ac:dyDescent="0.2">
      <c r="B5" s="1626" t="str">
        <f>IF(AD7=2,"FACTURE NO.","INVOICE #")</f>
        <v>INVOICE #</v>
      </c>
      <c r="C5" s="1627" t="str">
        <f>IF(AD7=2,"DATE FACTURÉE
(aaaa-mm-jj)","INVOICE DATE
(yyyy-mm-dd)")</f>
        <v>INVOICE DATE
(yyyy-mm-dd)</v>
      </c>
      <c r="D5" s="1628" t="str">
        <f>IF(AD7=2,"ACTIVITÉ","ACTIVITY")</f>
        <v>ACTIVITY</v>
      </c>
      <c r="E5" s="1629" t="str">
        <f>IF(AD7=2,"REPAS","MEALS")</f>
        <v>MEALS</v>
      </c>
      <c r="F5" s="1629"/>
      <c r="G5" s="1630" t="s">
        <v>474</v>
      </c>
      <c r="H5" s="1630"/>
      <c r="I5" s="1629" t="str">
        <f>IF(AD7=2,"TRANSPORT - SOUTIEN","TRANSPORTATION-SUPPORT")</f>
        <v>TRANSPORTATION-SUPPORT</v>
      </c>
      <c r="J5" s="1629"/>
      <c r="K5" s="1630" t="str">
        <f>IF(AD7=2,"AUTRE - 1","OTHER - 1")</f>
        <v>OTHER - 1</v>
      </c>
      <c r="L5" s="1630"/>
      <c r="M5" s="1629" t="str">
        <f>IF($AD$7=2,"AUTRE - 2","OTHER - 2")</f>
        <v>OTHER - 2</v>
      </c>
      <c r="N5" s="1629"/>
      <c r="O5" s="1642" t="str">
        <f>IF($AD$7=2,"AUTRE - 3","OTHER - 3")</f>
        <v>OTHER - 3</v>
      </c>
      <c r="P5" s="1642"/>
      <c r="Q5" s="1643" t="str">
        <f>IF($AD$7=2,"REMBOURSE-
MENT DEMANDÉ","REQUESTED REIMBURSEMENT")</f>
        <v>REQUESTED REIMBURSEMENT</v>
      </c>
      <c r="R5" s="1620" t="str">
        <f>'Jrnl Rev'!BE8</f>
        <v>DND Local Support Allocation (LSA)</v>
      </c>
      <c r="S5" s="1621" t="str">
        <f>'Jrnl Rev'!BF8</f>
        <v>DND Allocation - Mandatory and Complementary Pgm (MCP)</v>
      </c>
      <c r="T5" s="1622" t="str">
        <f>IF($AD$7=2,"REMBOURSEMENT AUTORISÉ","AUTHORIZED REIMBURSEMENT")</f>
        <v>AUTHORIZED REIMBURSEMENT</v>
      </c>
      <c r="U5" s="1623" t="str">
        <f>IF($AD$7=2,"DATE TRSF J8
(aaaa-mm-jj)","J8 DATE TRSF
yyyy-mm-dd")</f>
        <v>J8 DATE TRSF
yyyy-mm-dd</v>
      </c>
      <c r="V5" s="1636" t="str">
        <f>IF($AD$7=2,"REMBOUIRSE-
MENT REÇU","REIMBURSEMENT
RECEIVED")</f>
        <v>REIMBURSEMENT
RECEIVED</v>
      </c>
      <c r="W5" s="1637" t="str">
        <f>IF($AD$7=2,"DATE DU DÉPÔT
(aaaa-mm-jj)","DEPOSIT DATE
yyyy-mm-dd")</f>
        <v>DEPOSIT DATE
yyyy-mm-dd</v>
      </c>
      <c r="X5" s="1638" t="str">
        <f>IF($AD$7=2,"TVH
REMBOURSÉE","HST
REIMBURSED")</f>
        <v>HST
REIMBURSED</v>
      </c>
      <c r="Y5" s="1639" t="str">
        <f>IF($AD$7=2,"TPS
REMBOURSÉE","GST
REIMBURSED")</f>
        <v>GST
REIMBURSED</v>
      </c>
      <c r="Z5" s="1640" t="str">
        <f>IF($AD$7=2,"TVP
REMBOURSÉE","PST
REIMBURSED")</f>
        <v>PST
REIMBURSED</v>
      </c>
      <c r="AA5" s="1641" t="s">
        <v>40</v>
      </c>
      <c r="AB5" s="1632"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2">
      <c r="B6" s="1626"/>
      <c r="C6" s="1626"/>
      <c r="D6" s="1628"/>
      <c r="E6" s="814" t="s">
        <v>476</v>
      </c>
      <c r="F6" s="815" t="str">
        <f>IF($AD$7=2,"MONTANT","AMOUNT")</f>
        <v>AMOUNT</v>
      </c>
      <c r="G6" s="816" t="s">
        <v>476</v>
      </c>
      <c r="H6" s="817" t="str">
        <f>IF($AD$7=2,"MONTANT","AMOUNT")</f>
        <v>AMOUNT</v>
      </c>
      <c r="I6" s="814" t="s">
        <v>476</v>
      </c>
      <c r="J6" s="815" t="str">
        <f>IF($AD$7=2,"MONTANT","AMOUNT")</f>
        <v>AMOUNT</v>
      </c>
      <c r="K6" s="816" t="s">
        <v>476</v>
      </c>
      <c r="L6" s="817" t="str">
        <f>IF($AD$7=2,"MONTANT","AMOUNT")</f>
        <v>AMOUNT</v>
      </c>
      <c r="M6" s="814" t="s">
        <v>476</v>
      </c>
      <c r="N6" s="815" t="str">
        <f>IF($AD$7=2,"MONTANT","AMOUNT")</f>
        <v>AMOUNT</v>
      </c>
      <c r="O6" s="818" t="s">
        <v>476</v>
      </c>
      <c r="P6" s="819" t="str">
        <f>IF($AD$7=2,"MONTANT","AMOUNT")</f>
        <v>AMOUNT</v>
      </c>
      <c r="Q6" s="1643"/>
      <c r="R6" s="1620"/>
      <c r="S6" s="1621"/>
      <c r="T6" s="1622"/>
      <c r="U6" s="1623"/>
      <c r="V6" s="1636"/>
      <c r="W6" s="1637"/>
      <c r="X6" s="1638"/>
      <c r="Y6" s="1639"/>
      <c r="Z6" s="1640"/>
      <c r="AA6" s="1641"/>
      <c r="AB6" s="1632"/>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2">
      <c r="B7" s="1626"/>
      <c r="C7" s="1627"/>
      <c r="D7" s="1628"/>
      <c r="E7" s="1633" t="str">
        <f>IF($AD$7=2,"Nom de l'activité, fournisseur, No. Facture, dates, endroit, etc.","Name of activity, Supplier, Invoice #, Dates, Location, etc.")</f>
        <v>Name of activity, Supplier, Invoice #, Dates, Location, etc.</v>
      </c>
      <c r="F7" s="1633"/>
      <c r="G7" s="1634" t="str">
        <f>IF($AD$7=2,"Nom de l'activité, fournisseur, No. Facture, dates, endroit, etc.","Name of activity, Supplier, Invoice #, Dates, Location, etc.")</f>
        <v>Name of activity, Supplier, Invoice #, Dates, Location, etc.</v>
      </c>
      <c r="H7" s="1634"/>
      <c r="I7" s="1633" t="str">
        <f>IF($AD$7=2,"Nom de l'activité, fournisseur, No. Facture, dates, endroit, etc.","Name of activity, Supplier, Invoice #, Dates, Location, etc.")</f>
        <v>Name of activity, Supplier, Invoice #, Dates, Location, etc.</v>
      </c>
      <c r="J7" s="1633"/>
      <c r="K7" s="1634" t="str">
        <f>IF($AD$7=2,"Nom de l'activité, fournisseur, No. Facture, dates, endroit, etc.","Name of activity, Supplier, Invoice #, Dates, Location, etc.")</f>
        <v>Name of activity, Supplier, Invoice #, Dates, Location, etc.</v>
      </c>
      <c r="L7" s="1634"/>
      <c r="M7" s="1633" t="str">
        <f>IF($AD$7=2,"Nom de l'activité, fournisseur, No. Facture, dates, endroit, etc.","Name of activity, Supplier, Invoice #, Dates, Location, etc.")</f>
        <v>Name of activity, Supplier, Invoice #, Dates, Location, etc.</v>
      </c>
      <c r="N7" s="1633"/>
      <c r="O7" s="1635" t="str">
        <f>IF($AD$7=2,"Nom de l'activité, fournisseur, No. Facture, dates, endroit, etc.","Name of activity, Supplier, Invoice #, Dates, Location, etc.")</f>
        <v>Name of activity, Supplier, Invoice #, Dates, Location, etc.</v>
      </c>
      <c r="P7" s="1635"/>
      <c r="Q7" s="1643"/>
      <c r="R7" s="1620"/>
      <c r="S7" s="1621"/>
      <c r="T7" s="1622"/>
      <c r="U7" s="1623"/>
      <c r="V7" s="1636"/>
      <c r="W7" s="1637"/>
      <c r="X7" s="1638"/>
      <c r="Y7" s="1639"/>
      <c r="Z7" s="1640"/>
      <c r="AA7" s="1641"/>
      <c r="AB7" s="1632"/>
      <c r="AD7" s="187">
        <f>'Set up ~ Config'!L10</f>
        <v>1</v>
      </c>
    </row>
    <row r="8" spans="1:31" s="833" customFormat="1" ht="45" customHeight="1" x14ac:dyDescent="0.2">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2">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2">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2">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2">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2">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2">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2">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2">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2">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2">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2">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2">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2">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2">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2">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2">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2">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2">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2">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2">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2">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2">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2">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2">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2">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2">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2">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2">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25">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8.75" thickTop="1" x14ac:dyDescent="0.2">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4.25" thickTop="1" thickBot="1" x14ac:dyDescent="0.25">
      <c r="B60" s="1631"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0" s="1631"/>
      <c r="D60" s="1631"/>
    </row>
    <row r="61" spans="1:31" ht="14.25" thickTop="1" thickBot="1" x14ac:dyDescent="0.25">
      <c r="B61" s="1631"/>
      <c r="C61" s="1631"/>
      <c r="D61" s="1631"/>
    </row>
    <row r="62" spans="1:31" ht="14.25" thickTop="1" thickBot="1" x14ac:dyDescent="0.25">
      <c r="B62" s="1631"/>
      <c r="C62" s="1631"/>
      <c r="D62" s="1631"/>
    </row>
    <row r="63" spans="1:31" ht="14.25" thickTop="1" thickBot="1" x14ac:dyDescent="0.25">
      <c r="B63" s="1631"/>
      <c r="C63" s="1631"/>
      <c r="D63" s="1631"/>
    </row>
  </sheetData>
  <sheetProtection algorithmName="SHA-512" hashValue="BipdPJsBu+NozMo8Y2iw7qAOYoSrhSy6BZWjpu4Bbx8fgYyDWLEsxQjUqFq7DnXftNCV+Z1erWkCigSYM1xJ5g==" saltValue="EBwJWt04FT0ELJU6ATjA7w==" spinCount="100000" sheet="1" objects="1" scenarios="1" selectLockedCells="1"/>
  <mergeCells count="36">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 ref="R5:R7"/>
    <mergeCell ref="S5:S7"/>
    <mergeCell ref="T5:T7"/>
    <mergeCell ref="U5:U7"/>
    <mergeCell ref="B4:C4"/>
    <mergeCell ref="E4:P4"/>
    <mergeCell ref="B5:B7"/>
    <mergeCell ref="C5:C7"/>
    <mergeCell ref="D5:D7"/>
    <mergeCell ref="E5:F5"/>
    <mergeCell ref="G5:H5"/>
    <mergeCell ref="I5:J5"/>
    <mergeCell ref="K5:L5"/>
    <mergeCell ref="M5:N5"/>
    <mergeCell ref="B1:P1"/>
    <mergeCell ref="Q1:Q2"/>
    <mergeCell ref="R1:R2"/>
    <mergeCell ref="B2:P2"/>
    <mergeCell ref="U2:Y3"/>
    <mergeCell ref="B3:P3"/>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formula1>1</formula1>
      <formula2>365</formula2>
    </dataValidation>
    <dataValidation type="date" operator="greaterThan" allowBlank="1" showInputMessage="1" showErrorMessage="1" sqref="C8:C57">
      <formula1>42917</formula1>
      <formula2>0</formula2>
    </dataValidation>
    <dataValidation type="list" allowBlank="1" showInputMessage="1" showErrorMessage="1" sqref="AA8:AA57">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B1:Y58"/>
  <sheetViews>
    <sheetView showGridLines="0" showRowColHeaders="0" showZeros="0" topLeftCell="A40" zoomScale="85" zoomScaleNormal="85" zoomScalePageLayoutView="55" workbookViewId="0">
      <selection activeCell="B9" sqref="B9:Y9"/>
    </sheetView>
  </sheetViews>
  <sheetFormatPr defaultColWidth="8.7109375" defaultRowHeight="12.75" x14ac:dyDescent="0.2"/>
  <cols>
    <col min="2" max="2" width="86.28515625" customWidth="1"/>
    <col min="7" max="7" width="9.140625" customWidth="1"/>
    <col min="9" max="9" width="9.140625" customWidth="1"/>
  </cols>
  <sheetData>
    <row r="1" spans="2:25" x14ac:dyDescent="0.2">
      <c r="E1" s="214">
        <f>'Set up ~ Config'!L10</f>
        <v>1</v>
      </c>
    </row>
    <row r="4" spans="2:25" ht="72" customHeight="1" x14ac:dyDescent="0.4">
      <c r="B4" s="1644" t="str">
        <f>IF(E1=2,"Ligue des cadets de l'air du Canada
Comité provincial"&amp;" "&amp;"("&amp;'Set up ~ Config'!C11&amp;")","Air Cadet League of Canada
Provincial Committee"&amp;" "&amp;"("&amp;'Set up ~ Config'!C11&amp;")")</f>
        <v>Air Cadet League of Canada
Provincial Committee (British Columbia)</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6.25" x14ac:dyDescent="0.4">
      <c r="B6" s="1645" t="str">
        <f>IF(E1=2,"Comité répondant d'escadron","Squadron Sponsoring Committee")</f>
        <v>Squadron Sponsoring Committee</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25" x14ac:dyDescent="0.2">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2">
      <c r="B57" s="1647" t="str">
        <f>IF(E1=2,"Rapport financier annuel","Annual Financial Report")</f>
        <v>Annual Financial Report</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7.75" x14ac:dyDescent="0.4">
      <c r="B58" s="1648" t="str">
        <f>IF(E1=2,"pour l'exercice financier terminé le "&amp;'Set up ~ Config'!N6,"For  Fiscal Year Ending on "&amp;'Set up ~ Config'!N6)</f>
        <v>For  Fiscal Year Ending on 2025-08-31</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AMJ51"/>
  <sheetViews>
    <sheetView showGridLines="0" showZeros="0" topLeftCell="A13" zoomScaleNormal="100" zoomScalePageLayoutView="40" workbookViewId="0">
      <selection activeCell="H37" sqref="H37:J37"/>
    </sheetView>
  </sheetViews>
  <sheetFormatPr defaultColWidth="11.42578125" defaultRowHeight="12.75" x14ac:dyDescent="0.2"/>
  <cols>
    <col min="1" max="1" width="4.85546875" style="1" customWidth="1"/>
    <col min="2" max="2" width="5.85546875" style="1" customWidth="1"/>
    <col min="3" max="3" width="15.7109375" style="1" customWidth="1"/>
    <col min="4" max="4" width="16.140625" style="1" customWidth="1"/>
    <col min="5" max="5" width="16" style="1" customWidth="1"/>
    <col min="6" max="6" width="9.140625" style="1" customWidth="1"/>
    <col min="7" max="7" width="20.140625" style="1" customWidth="1"/>
    <col min="8" max="8" width="17.85546875" style="1" customWidth="1"/>
    <col min="9" max="9" width="11" style="1" customWidth="1"/>
    <col min="10" max="10" width="29.28515625" style="1" customWidth="1"/>
    <col min="11" max="11" width="1" style="1" customWidth="1"/>
    <col min="12" max="12" width="23.5703125" style="1" hidden="1" customWidth="1"/>
    <col min="13" max="13" width="1.42578125" style="1" hidden="1" customWidth="1"/>
    <col min="14" max="14" width="11.42578125" style="1" hidden="1" customWidth="1"/>
    <col min="15" max="20" width="9.140625" style="1" hidden="1" customWidth="1"/>
    <col min="21" max="21" width="11.42578125" style="1" hidden="1" customWidth="1"/>
    <col min="22" max="22" width="14.28515625" style="1" hidden="1" customWidth="1"/>
    <col min="23" max="23" width="8.85546875" style="1" hidden="1" customWidth="1"/>
    <col min="24" max="26" width="9.140625" style="1" hidden="1" customWidth="1"/>
    <col min="27" max="28" width="9.140625" style="1" customWidth="1"/>
    <col min="29" max="29" width="8.42578125" style="1" customWidth="1"/>
    <col min="30" max="30" width="9.140625" style="1" customWidth="1"/>
    <col min="31" max="31" width="8.28515625" style="1" customWidth="1"/>
    <col min="32" max="256" width="9.140625" style="1" customWidth="1"/>
    <col min="257" max="1024" width="11.42578125" style="1"/>
  </cols>
  <sheetData>
    <row r="1" spans="2:20" ht="54" customHeight="1" x14ac:dyDescent="0.2">
      <c r="B1" s="1649" t="str">
        <f>IF(N1=2,"Ligue des cadets de l'air du Canada
Rapport financier du Comité répondant d'escadron","Air Cadet League of Canada
Squadron Sponsoring Committee
Financial Report")</f>
        <v>Air Cadet League of Canada
Squadron Sponsoring Committee
Financial Report</v>
      </c>
      <c r="C1" s="1649"/>
      <c r="D1" s="1649"/>
      <c r="E1" s="1649"/>
      <c r="F1" s="1649"/>
      <c r="G1" s="1649"/>
      <c r="H1" s="1649"/>
      <c r="I1" s="1649"/>
      <c r="J1" s="1649"/>
      <c r="N1" s="12">
        <f>'Set up ~ Config'!L10</f>
        <v>1</v>
      </c>
    </row>
    <row r="2" spans="2:20" ht="24.75" customHeight="1" x14ac:dyDescent="0.2">
      <c r="B2" s="1650">
        <f>'Set up ~ Config'!D10</f>
        <v>0</v>
      </c>
      <c r="C2" s="1650"/>
      <c r="D2" s="1650"/>
      <c r="E2" s="1650"/>
      <c r="F2" s="1650"/>
      <c r="G2" s="1650"/>
      <c r="H2" s="1650"/>
      <c r="I2" s="1650"/>
      <c r="J2" s="1650"/>
      <c r="N2" s="23"/>
    </row>
    <row r="3" spans="2:20" ht="31.5" customHeight="1" x14ac:dyDescent="0.2">
      <c r="B3" s="1651" t="str">
        <f>IF(N1=2,"Rapport Financier Consolidé 'Comptes multiples' du
Comité Répondant (Formulaire ACC9MA)","Squadron Sponsoring Committee
Financial Report (Form ACC9MA)")</f>
        <v>Squadron Sponsoring Committee
Financial Report (Form ACC9MA)</v>
      </c>
      <c r="C3" s="1651"/>
      <c r="D3" s="1651"/>
      <c r="E3" s="1651"/>
      <c r="F3" s="215"/>
      <c r="G3" s="215"/>
      <c r="H3" s="215"/>
      <c r="I3" s="215"/>
      <c r="J3" s="215"/>
    </row>
    <row r="4" spans="2:20" s="188" customFormat="1" ht="21.75" customHeight="1" x14ac:dyDescent="0.2">
      <c r="B4" s="1652" t="str">
        <f>IF(N1=2,"LA LIGUE DES CADETS DE L'AIR DU CANADA   --  RèGLEMENTS 2006, Article 1.3.9.2.4.v du MPP","AIR CADET LEAGUE OF CANADA   --  2006 BY- LAW Article 9.2.4.v. in the PPM")</f>
        <v>AIR CADET LEAGUE OF CANADA   --  2006 BY- LAW Article 9.2.4.v. in the PPM</v>
      </c>
      <c r="C4" s="1652"/>
      <c r="D4" s="1652"/>
      <c r="E4" s="1652"/>
      <c r="F4" s="1652"/>
      <c r="G4" s="1652"/>
      <c r="H4" s="1652"/>
      <c r="I4" s="1652"/>
      <c r="J4" s="1652"/>
      <c r="T4" s="20" t="s">
        <v>544</v>
      </c>
    </row>
    <row r="5" spans="2:20" ht="81" customHeight="1" x14ac:dyDescent="0.2">
      <c r="B5" s="1653" t="str">
        <f>IF(N1=2,T4,T5)</f>
        <v>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v>
      </c>
      <c r="C5" s="1653"/>
      <c r="D5" s="1653"/>
      <c r="E5" s="1653"/>
      <c r="F5" s="1653"/>
      <c r="G5" s="1653"/>
      <c r="H5" s="1653"/>
      <c r="I5" s="1653"/>
      <c r="J5" s="1653"/>
      <c r="T5" s="20" t="s">
        <v>543</v>
      </c>
    </row>
    <row r="6" spans="2:20" ht="23.25" customHeight="1" x14ac:dyDescent="0.2">
      <c r="B6" s="1652" t="str">
        <f>IF(N1=2,"CHAQUE PAGE DE CE FORMULAIRE DOIT ÊTRE COMPLÉTÉE ET REMISE ANNUELLEMENT.","THE FULL AND COMPLETE YEARLY SUBMISSION OF THIS FORM IS MANDATORY.")</f>
        <v>THE FULL AND COMPLETE YEARLY SUBMISSION OF THIS FORM IS MANDATORY.</v>
      </c>
      <c r="C6" s="1652"/>
      <c r="D6" s="1652"/>
      <c r="E6" s="1652"/>
      <c r="F6" s="1652"/>
      <c r="G6" s="1652"/>
      <c r="H6" s="1652"/>
      <c r="I6" s="1652"/>
      <c r="J6" s="1652"/>
      <c r="O6" s="216"/>
      <c r="Q6" s="217"/>
      <c r="T6" s="1" t="str">
        <f>"It must be completed with a Year-End of  "&amp;'Set up ~ Config'!N6&amp;" and submitted "</f>
        <v xml:space="preserve">It must be completed with a Year-End of  2025-08-31 and submitted </v>
      </c>
    </row>
    <row r="7" spans="2:20" x14ac:dyDescent="0.2">
      <c r="B7" s="1654" t="str">
        <f>IF(N1=2,T7, T6)</f>
        <v xml:space="preserve">It must be completed with a Year-End of  2025-08-31 and submitted </v>
      </c>
      <c r="C7" s="1654"/>
      <c r="D7" s="1654"/>
      <c r="E7" s="1654"/>
      <c r="F7" s="1654"/>
      <c r="G7" s="1654"/>
      <c r="H7" s="1654"/>
      <c r="I7" s="1654"/>
      <c r="J7" s="1654"/>
      <c r="O7" s="80"/>
      <c r="R7" s="217"/>
      <c r="T7" s="1" t="str">
        <f>"Le rapport doit être complété avec une fin d'année au "&amp;'Set up ~ Config'!N6&amp;" et remis "</f>
        <v xml:space="preserve">Le rapport doit être complété avec une fin d'année au 2025-08-31 et remis </v>
      </c>
    </row>
    <row r="8" spans="2:20" x14ac:dyDescent="0.2">
      <c r="B8" s="1655" t="str">
        <f>T10</f>
        <v>to the Provincial Committee by 31 October 2025</v>
      </c>
      <c r="C8" s="1655"/>
      <c r="D8" s="1655"/>
      <c r="E8" s="1655"/>
      <c r="F8" s="1655"/>
      <c r="G8" s="1655"/>
      <c r="H8" s="1655"/>
      <c r="I8" s="1655"/>
      <c r="J8" s="1655"/>
      <c r="O8" s="80"/>
      <c r="R8" s="82"/>
    </row>
    <row r="9" spans="2:20" ht="4.5" customHeight="1" x14ac:dyDescent="0.2">
      <c r="B9" s="193"/>
      <c r="C9" s="193"/>
      <c r="D9" s="193"/>
      <c r="E9" s="193"/>
      <c r="F9" s="193"/>
      <c r="G9" s="193"/>
      <c r="H9" s="193"/>
      <c r="I9" s="193"/>
      <c r="J9" s="193"/>
      <c r="O9" s="80"/>
      <c r="R9" s="82"/>
    </row>
    <row r="10" spans="2:20" ht="37.5" customHeight="1" x14ac:dyDescent="0.2">
      <c r="B10" s="1656" t="str">
        <f>IF(N1=2," IDENTIFICATION DU COMITÉ RÉPONDANT (CR)","SQUADRON SPONSORING COMMITTEE Identification")</f>
        <v>SQUADRON SPONSORING COMMITTEE Identification</v>
      </c>
      <c r="C10" s="1656"/>
      <c r="D10" s="1656"/>
      <c r="E10" s="1656"/>
      <c r="F10" s="1656"/>
      <c r="G10" s="1656"/>
      <c r="H10" s="1656"/>
      <c r="I10" s="1656"/>
      <c r="J10" s="1656"/>
      <c r="O10" s="80"/>
      <c r="R10" s="217" t="s">
        <v>139</v>
      </c>
      <c r="T10" s="218" t="str">
        <f>IF(N1=2,"au comité provincial de la ligue avant le 31 octobre "&amp;'Set up ~ Config'!G31,"to the Provincial Committee by 31 October "&amp;'Set up ~ Config'!G31)</f>
        <v>to the Provincial Committee by 31 October 2025</v>
      </c>
    </row>
    <row r="11" spans="2:20" ht="25.5" customHeight="1" x14ac:dyDescent="0.2">
      <c r="B11" s="1657" t="str">
        <f>IF(N1=2,"No. d'escadron:","Sqn Number")</f>
        <v>Sqn Number</v>
      </c>
      <c r="C11" s="1657"/>
      <c r="D11" s="949">
        <f>'Set up ~ Config'!H10</f>
        <v>0</v>
      </c>
      <c r="E11" s="948" t="str">
        <f>IF(N1=2,"Nom du Comité:","Committee Name:")</f>
        <v>Committee Name:</v>
      </c>
      <c r="F11" s="1658" t="str">
        <f>'Set up ~ Config'!C10&amp;" "&amp;'Set up ~ Config'!D10</f>
        <v xml:space="preserve">SSC </v>
      </c>
      <c r="G11" s="1658"/>
      <c r="H11" s="1658"/>
      <c r="I11" s="1658"/>
      <c r="J11" s="1658"/>
      <c r="O11" s="80"/>
      <c r="R11" s="82" t="s">
        <v>140</v>
      </c>
    </row>
    <row r="12" spans="2:20" ht="25.5" customHeight="1" x14ac:dyDescent="0.2">
      <c r="B12" s="1659" t="str">
        <f>IF(N1=2,"Comité Provincial (juridiction):","Provincial Committee Jurisdiction:")</f>
        <v>Provincial Committee Jurisdiction:</v>
      </c>
      <c r="C12" s="1659"/>
      <c r="D12" s="1659"/>
      <c r="E12" s="1660" t="str">
        <f>'Set up ~ Config'!C11</f>
        <v>British Columbia</v>
      </c>
      <c r="F12" s="1660"/>
      <c r="G12" s="1660"/>
      <c r="H12" s="1661" t="str">
        <f>'Cover~Page~Titre'!B58</f>
        <v>For  Fiscal Year Ending on 2025-08-31</v>
      </c>
      <c r="I12" s="1661"/>
      <c r="J12" s="1661"/>
      <c r="O12" s="80"/>
      <c r="R12" s="82">
        <v>2006</v>
      </c>
    </row>
    <row r="13" spans="2:20" ht="23.1" customHeight="1" x14ac:dyDescent="0.2">
      <c r="B13" s="1659" t="str">
        <f>IF(N1=2,"Addresse postale - CRE:","SSC Mailing Address:")</f>
        <v>SSC Mailing Address:</v>
      </c>
      <c r="C13" s="1659"/>
      <c r="D13" s="1662">
        <f>'Set up ~ Config'!C12</f>
        <v>0</v>
      </c>
      <c r="E13" s="1662"/>
      <c r="F13" s="1662"/>
      <c r="G13" s="1662"/>
      <c r="H13" s="188"/>
      <c r="I13" s="188"/>
      <c r="J13" s="188"/>
      <c r="O13" s="80"/>
      <c r="R13" s="82">
        <v>2007</v>
      </c>
    </row>
    <row r="14" spans="2:20" ht="23.1" customHeight="1" x14ac:dyDescent="0.2">
      <c r="D14" s="1663">
        <f>'Set up ~ Config'!C13</f>
        <v>0</v>
      </c>
      <c r="E14" s="1663"/>
      <c r="F14" s="1663"/>
      <c r="G14" s="1663"/>
      <c r="H14" s="188"/>
      <c r="I14" s="188"/>
      <c r="J14" s="188"/>
      <c r="O14" s="80"/>
      <c r="R14" s="82">
        <v>2008</v>
      </c>
    </row>
    <row r="15" spans="2:20" ht="23.1" customHeight="1" x14ac:dyDescent="0.2">
      <c r="D15" s="1663">
        <f>'Set up ~ Config'!C14</f>
        <v>0</v>
      </c>
      <c r="E15" s="1663"/>
      <c r="F15" s="1663"/>
      <c r="G15" s="1663"/>
      <c r="H15" s="188"/>
      <c r="I15" s="188"/>
      <c r="J15" s="188"/>
      <c r="O15" s="80"/>
      <c r="R15" s="82">
        <v>2009</v>
      </c>
    </row>
    <row r="16" spans="2:20" ht="23.1" customHeight="1" x14ac:dyDescent="0.2">
      <c r="B16" s="1668" t="str">
        <f>IF(N1=2,"Président(e) du CRE:","SSC Chair:")</f>
        <v>SSC Chair:</v>
      </c>
      <c r="C16" s="1668"/>
      <c r="D16" s="1663">
        <f>'Set up ~ Config'!C15</f>
        <v>0</v>
      </c>
      <c r="E16" s="1663"/>
      <c r="F16" s="1663"/>
      <c r="G16" s="1663"/>
      <c r="H16" s="188"/>
      <c r="I16" s="188"/>
      <c r="J16" s="188"/>
      <c r="O16" s="80"/>
      <c r="R16" s="82">
        <v>2010</v>
      </c>
    </row>
    <row r="17" spans="1:22" ht="25.5" customHeight="1" x14ac:dyDescent="0.2">
      <c r="B17" s="1664" t="str">
        <f>IF(N1=2,"Informations - personne ayant complétée ce rapport (normalement le trésorier):","Person completing this form (normally the treasurer):")</f>
        <v>Person completing this form (normally the treasurer):</v>
      </c>
      <c r="C17" s="1664"/>
      <c r="D17" s="1664"/>
      <c r="E17" s="1664"/>
      <c r="F17" s="1664"/>
      <c r="G17" s="1664"/>
      <c r="H17" s="1664"/>
      <c r="I17" s="1664"/>
      <c r="J17" s="1664"/>
      <c r="M17" s="219"/>
      <c r="O17" s="80"/>
      <c r="R17" s="82">
        <v>2011</v>
      </c>
    </row>
    <row r="18" spans="1:22" ht="23.1" customHeight="1" x14ac:dyDescent="0.2">
      <c r="C18" s="1665" t="str">
        <f>IF(N1=2,"Nom &amp; Titre:","Name &amp; Title:")</f>
        <v>Name &amp; Title:</v>
      </c>
      <c r="D18" s="1666"/>
      <c r="E18" s="1667">
        <f>'Set up ~ Config'!I20</f>
        <v>0</v>
      </c>
      <c r="F18" s="1663"/>
      <c r="G18" s="1663"/>
      <c r="H18" s="188"/>
      <c r="I18" s="188"/>
      <c r="J18" s="188"/>
      <c r="O18" s="80"/>
      <c r="R18" s="82">
        <v>2012</v>
      </c>
    </row>
    <row r="19" spans="1:22" ht="23.1" customHeight="1" x14ac:dyDescent="0.2">
      <c r="C19" s="1665" t="str">
        <f>IF(N1=2,"Addresse postale:","Mailing Address:")</f>
        <v>Mailing Address:</v>
      </c>
      <c r="D19" s="1666"/>
      <c r="E19" s="1663">
        <f>'Set up ~ Config'!I21</f>
        <v>0</v>
      </c>
      <c r="F19" s="1663"/>
      <c r="G19" s="1663"/>
      <c r="H19" s="188"/>
      <c r="I19" s="188"/>
      <c r="J19" s="188"/>
      <c r="O19" s="82"/>
      <c r="R19" s="82">
        <v>2013</v>
      </c>
    </row>
    <row r="20" spans="1:22" ht="23.1" customHeight="1" x14ac:dyDescent="0.2">
      <c r="C20" s="1665" t="str">
        <f>IF(N1=2," Ville, Prov, Code Postal:","City,  Prov. &amp; Postal Code:")</f>
        <v>City,  Prov. &amp; Postal Code:</v>
      </c>
      <c r="D20" s="1666"/>
      <c r="E20" s="1663">
        <f>'Set up ~ Config'!I22</f>
        <v>0</v>
      </c>
      <c r="F20" s="1663"/>
      <c r="G20" s="1663"/>
      <c r="H20" s="188"/>
      <c r="I20" s="188"/>
      <c r="J20" s="188"/>
      <c r="R20" s="82">
        <v>2014</v>
      </c>
    </row>
    <row r="21" spans="1:22" ht="23.1" customHeight="1" x14ac:dyDescent="0.2">
      <c r="C21" s="1665" t="str">
        <f>IF(N1=2,"Tél 1:  Résidence:","Phone 1:  Residence.:")</f>
        <v>Phone 1:  Residence.:</v>
      </c>
      <c r="D21" s="1666"/>
      <c r="E21" s="1670">
        <f>'Set up ~ Config'!I23</f>
        <v>0</v>
      </c>
      <c r="F21" s="1670"/>
      <c r="G21" s="1670"/>
      <c r="H21" s="1669"/>
      <c r="I21" s="1669"/>
      <c r="O21" s="12" t="s">
        <v>23</v>
      </c>
      <c r="R21" s="82">
        <v>2015</v>
      </c>
    </row>
    <row r="22" spans="1:22" ht="23.1" customHeight="1" x14ac:dyDescent="0.2">
      <c r="C22" s="1665" t="str">
        <f>IF(N1=2,"Téléphone (Bureau ou Cellulaire) :","Phone (Work or Cell) :")</f>
        <v>Phone (Work or Cell) :</v>
      </c>
      <c r="D22" s="1666"/>
      <c r="E22" s="1670">
        <f>'Set up ~ Config'!I24</f>
        <v>0</v>
      </c>
      <c r="F22" s="1670"/>
      <c r="G22" s="1670"/>
      <c r="H22" s="1669"/>
      <c r="I22" s="1669"/>
      <c r="O22" s="12" t="s">
        <v>26</v>
      </c>
      <c r="R22" s="82">
        <v>2016</v>
      </c>
    </row>
    <row r="23" spans="1:22" ht="23.1" customHeight="1" x14ac:dyDescent="0.2">
      <c r="C23" s="1665" t="str">
        <f>IF(N1=2,"Courriel:","e-mail:")</f>
        <v>e-mail:</v>
      </c>
      <c r="D23" s="1666"/>
      <c r="E23" s="1670">
        <f>'Set up ~ Config'!I25</f>
        <v>0</v>
      </c>
      <c r="F23" s="1670"/>
      <c r="G23" s="1670"/>
      <c r="H23" s="1669"/>
      <c r="I23" s="1669"/>
      <c r="O23" s="12" t="s">
        <v>141</v>
      </c>
      <c r="R23" s="82">
        <v>2017</v>
      </c>
    </row>
    <row r="24" spans="1:22" ht="23.1" customHeight="1" x14ac:dyDescent="0.2">
      <c r="H24" s="1669">
        <f>'Set up ~ Config'!C30</f>
        <v>0</v>
      </c>
      <c r="I24" s="1669"/>
      <c r="O24" s="12" t="s">
        <v>142</v>
      </c>
      <c r="R24" s="82">
        <v>2018</v>
      </c>
    </row>
    <row r="25" spans="1:22" ht="5.25" customHeight="1" x14ac:dyDescent="0.2">
      <c r="C25" s="220"/>
      <c r="D25" s="220"/>
      <c r="E25" s="26"/>
      <c r="F25" s="26"/>
      <c r="G25" s="26"/>
      <c r="H25" s="26"/>
      <c r="I25" s="26"/>
      <c r="J25" s="26"/>
      <c r="R25" s="82">
        <v>2019</v>
      </c>
    </row>
    <row r="26" spans="1:22" ht="23.1" customHeight="1" x14ac:dyDescent="0.2">
      <c r="B26" s="1671" t="str">
        <f>IF(N1=2,"L'escadron est-il un organisme de bienfaisance enregistré (Agence Revenue Canada)?","Is the Squadron Sponsoring Committee a Registered Canadian Charity?")</f>
        <v>Is the Squadron Sponsoring Committee a Registered Canadian Charity?</v>
      </c>
      <c r="C26" s="1671"/>
      <c r="D26" s="1671"/>
      <c r="E26" s="1671"/>
      <c r="F26" s="1671"/>
      <c r="G26" s="1671"/>
      <c r="H26" s="1671"/>
      <c r="I26" s="1671"/>
      <c r="J26" s="943">
        <f>'Set up ~ Config'!C20</f>
        <v>0</v>
      </c>
      <c r="R26" s="82">
        <v>2020</v>
      </c>
    </row>
    <row r="27" spans="1:22" ht="3.75" customHeight="1" x14ac:dyDescent="0.2"/>
    <row r="28" spans="1:22" ht="23.1" customHeight="1" x14ac:dyDescent="0.2">
      <c r="B28" s="1671" t="str">
        <f>IF(N1=2,"Si oui,  le numéro d'enregistrement est:","If yes,  the Registration Number is:")</f>
        <v>If yes,  the Registration Number is:</v>
      </c>
      <c r="C28" s="1671"/>
      <c r="D28" s="1671"/>
      <c r="E28" s="1671"/>
      <c r="F28" s="1671"/>
      <c r="G28" s="1672" t="str">
        <f>LEFT('Set up ~ Config'!C22,9)</f>
        <v/>
      </c>
      <c r="H28" s="1672"/>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3.1" customHeight="1" x14ac:dyDescent="0.2">
      <c r="B29" s="1671" t="str">
        <f>IF(N1=2,"Le numéro d'enregistrement d'entreprise (si applicable):","Business Registration Number (if applicable):")</f>
        <v>Business Registration Number (if applicable):</v>
      </c>
      <c r="C29" s="1671"/>
      <c r="D29" s="1671"/>
      <c r="E29" s="1671"/>
      <c r="F29" s="1671"/>
      <c r="G29" s="1679" t="str">
        <f>LEFT('Set up ~ Config'!C23,9)</f>
        <v/>
      </c>
      <c r="H29" s="1679"/>
      <c r="I29" s="221" t="s">
        <v>144</v>
      </c>
      <c r="J29" s="946" t="str">
        <f>RIGHT('Set up ~ Config'!C23,4)</f>
        <v/>
      </c>
    </row>
    <row r="30" spans="1:22" ht="23.1" customHeight="1" x14ac:dyDescent="0.2">
      <c r="B30" s="1671" t="str">
        <f>IF(N1=2,"La déclaration renseignements des org. de bienfaisance enregistrés (T3010) a-t-elle été soumise?","Was the past year's Registered Charity Information Return (Form T3010) submitted?")</f>
        <v>Was the past year's Registered Charity Information Return (Form T3010) submitted?</v>
      </c>
      <c r="C30" s="1671"/>
      <c r="D30" s="1671"/>
      <c r="E30" s="1671"/>
      <c r="F30" s="1671"/>
      <c r="G30" s="1671"/>
      <c r="H30" s="1671"/>
      <c r="I30" s="1671"/>
      <c r="J30" s="947">
        <f>'Set up ~ Config'!C24</f>
        <v>0</v>
      </c>
    </row>
    <row r="31" spans="1:22" ht="9.75" customHeight="1" x14ac:dyDescent="0.2"/>
    <row r="32" spans="1:22" s="219" customFormat="1" ht="15" customHeight="1" x14ac:dyDescent="0.2">
      <c r="A32" s="1"/>
      <c r="B32" s="1680" t="str">
        <f>IF(N1=2,"CETTE SECTION DOIT ÊTRE COMPLÉTÉE PAR L'AGENT AUX CONFORMITES FINANCIERES DU CP","THIS SECTION IS TO BE COMPLETED BY THE PC Financial Compliance Officer")</f>
        <v>THIS SECTION IS TO BE COMPLETED BY THE PC Financial Compliance Officer</v>
      </c>
      <c r="C32" s="1681"/>
      <c r="D32" s="1681"/>
      <c r="E32" s="1681"/>
      <c r="F32" s="1681"/>
      <c r="G32" s="1681"/>
      <c r="H32" s="1681"/>
      <c r="I32" s="1681"/>
      <c r="J32" s="1682"/>
      <c r="K32" s="1"/>
      <c r="L32" s="1"/>
      <c r="M32" s="1"/>
      <c r="N32" s="1"/>
      <c r="O32" s="1"/>
      <c r="P32" s="1"/>
      <c r="Q32" s="1"/>
    </row>
    <row r="33" spans="1:20" s="219" customFormat="1" ht="73.5" customHeight="1" x14ac:dyDescent="0.2">
      <c r="A33" s="1"/>
      <c r="B33" s="1683"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84"/>
      <c r="D33" s="1684"/>
      <c r="E33" s="1684"/>
      <c r="F33" s="1684"/>
      <c r="G33" s="1684"/>
      <c r="H33" s="1684"/>
      <c r="I33" s="1684"/>
      <c r="J33" s="1685"/>
      <c r="K33" s="1"/>
      <c r="L33" s="1"/>
      <c r="M33" s="1"/>
      <c r="N33" s="1"/>
      <c r="O33" s="1"/>
      <c r="P33" s="1"/>
      <c r="Q33" s="1"/>
    </row>
    <row r="34" spans="1:20" ht="30.75" customHeight="1" x14ac:dyDescent="0.2">
      <c r="A34" s="219"/>
      <c r="B34" s="1686" t="str">
        <f>IF(N1=2,"                                   Cochez cette case si une annexe est jointe","        Check box if annex attached")</f>
        <v xml:space="preserve">        Check box if annex attached</v>
      </c>
      <c r="C34" s="1687"/>
      <c r="D34" s="1687"/>
      <c r="E34" s="1687"/>
      <c r="F34" s="1687"/>
      <c r="G34" s="1687"/>
      <c r="H34" s="1687"/>
      <c r="I34" s="1687"/>
      <c r="J34" s="1688"/>
      <c r="K34" s="219"/>
      <c r="L34" s="219"/>
      <c r="M34" s="219"/>
      <c r="N34" s="219"/>
      <c r="O34" s="219"/>
      <c r="P34" s="219"/>
      <c r="Q34" s="219"/>
      <c r="T34" s="20" t="s">
        <v>549</v>
      </c>
    </row>
    <row r="35" spans="1:20" ht="12" customHeight="1" x14ac:dyDescent="0.2">
      <c r="A35" s="219"/>
      <c r="B35" s="26"/>
      <c r="C35" s="26"/>
      <c r="D35" s="26"/>
      <c r="E35" s="26"/>
      <c r="F35" s="26"/>
      <c r="G35" s="26"/>
      <c r="H35" s="26"/>
      <c r="I35" s="26"/>
      <c r="J35" s="26"/>
      <c r="K35" s="219"/>
      <c r="L35" s="219"/>
      <c r="M35" s="219"/>
      <c r="N35" s="219"/>
      <c r="O35" s="219"/>
      <c r="P35" s="219"/>
      <c r="Q35" s="219"/>
    </row>
    <row r="36" spans="1:20" s="223" customFormat="1" ht="14.25" customHeight="1" x14ac:dyDescent="0.2">
      <c r="A36" s="1"/>
      <c r="B36" s="1689" t="s">
        <v>132</v>
      </c>
      <c r="C36" s="1690"/>
      <c r="D36" s="1691" t="str">
        <f>IF(N1=2,"Nom de l'agent aux conformites financières du CP","PC Financial Compliance Officer (Name)")</f>
        <v>PC Financial Compliance Officer (Name)</v>
      </c>
      <c r="E36" s="1691"/>
      <c r="F36" s="1691"/>
      <c r="G36" s="1691"/>
      <c r="H36" s="1689" t="s">
        <v>145</v>
      </c>
      <c r="I36" s="1692"/>
      <c r="J36" s="1690"/>
      <c r="K36" s="1"/>
      <c r="L36" s="1"/>
      <c r="M36" s="1"/>
      <c r="N36" s="1"/>
      <c r="O36" s="1"/>
      <c r="P36" s="1"/>
      <c r="Q36" s="1"/>
      <c r="T36" s="1265" t="s">
        <v>146</v>
      </c>
    </row>
    <row r="37" spans="1:20" ht="26.25" customHeight="1" x14ac:dyDescent="0.2">
      <c r="A37" s="223"/>
      <c r="B37" s="1673"/>
      <c r="C37" s="1674"/>
      <c r="D37" s="1675"/>
      <c r="E37" s="1675"/>
      <c r="F37" s="1675"/>
      <c r="G37" s="1675"/>
      <c r="H37" s="1676"/>
      <c r="I37" s="1677"/>
      <c r="J37" s="1678"/>
      <c r="K37" s="223"/>
      <c r="L37" s="223"/>
      <c r="M37" s="223"/>
      <c r="N37" s="223"/>
      <c r="O37" s="223"/>
      <c r="P37" s="223"/>
      <c r="Q37" s="223"/>
    </row>
    <row r="38" spans="1:20" ht="25.5" hidden="1" customHeight="1" x14ac:dyDescent="0.2">
      <c r="B38" s="1709" t="str">
        <f>IF(N1=2,"Date ACC9 envoyé au CP (aaaa-mm-jj):","Date ACC9 sent to Nat'l by the PC (yyyy-mm-dd):")</f>
        <v>Date ACC9 sent to Nat'l by the PC (yyyy-mm-dd):</v>
      </c>
      <c r="C38" s="1710"/>
      <c r="D38" s="1711"/>
      <c r="E38" s="1714"/>
      <c r="F38" s="1715"/>
      <c r="G38" s="1709" t="str">
        <f>IF(N1=2,"Date reçue au National (aaaa-mm-jj):","Date recieved by National (yyyy-mm-dd):")</f>
        <v>Date recieved by National (yyyy-mm-dd):</v>
      </c>
      <c r="H38" s="1710"/>
      <c r="I38" s="1711"/>
      <c r="J38" s="1264"/>
    </row>
    <row r="39" spans="1:20" ht="15.75" x14ac:dyDescent="0.2">
      <c r="B39" s="1712"/>
      <c r="C39" s="1712"/>
      <c r="D39" s="224"/>
      <c r="E39" s="1713"/>
      <c r="F39" s="1713"/>
      <c r="G39" s="1713"/>
      <c r="J39" s="225" t="s">
        <v>465</v>
      </c>
    </row>
    <row r="40" spans="1:20" ht="25.5" customHeight="1" x14ac:dyDescent="0.2">
      <c r="B40" s="1696" t="str">
        <f>IF(N1=2,"No. d'escadron:","Sqn Number")</f>
        <v>Sqn Number</v>
      </c>
      <c r="C40" s="1696"/>
      <c r="D40" s="949">
        <f>D11</f>
        <v>0</v>
      </c>
      <c r="E40" s="948" t="str">
        <f>IF(N1=2,"Nom du Comité:","Committee Name:")</f>
        <v>Committee Name:</v>
      </c>
      <c r="F40" s="1662" t="str">
        <f>F11</f>
        <v xml:space="preserve">SSC </v>
      </c>
      <c r="G40" s="1662"/>
      <c r="H40" s="1662"/>
      <c r="I40" s="1662"/>
      <c r="J40" s="108" t="str">
        <f>IF(N1=2,"Annexe A","Annex A")</f>
        <v>Annex A</v>
      </c>
    </row>
    <row r="41" spans="1:20" ht="39" customHeight="1" x14ac:dyDescent="0.2">
      <c r="B41" s="1697" t="str">
        <f>IF(N1=2,"COMMENTAIRES DE L'AGENT AUX CONFORMITES FINANCIERES DU CP (s'il y a lieu):","ANNOTATIONS &amp; COMMENTS by PC FINANCIAL COMPLIANCE OFFICER (if any):")</f>
        <v>ANNOTATIONS &amp; COMMENTS by PC FINANCIAL COMPLIANCE OFFICER (if any):</v>
      </c>
      <c r="C41" s="1697"/>
      <c r="D41" s="1697"/>
      <c r="E41" s="1697"/>
      <c r="F41" s="1697"/>
      <c r="G41" s="1697"/>
      <c r="H41" s="1697"/>
      <c r="I41" s="1697"/>
      <c r="J41" s="1697"/>
    </row>
    <row r="42" spans="1:20" ht="23.25" customHeight="1" x14ac:dyDescent="0.2">
      <c r="B42" s="1698" t="str">
        <f>'Cover~Page~Titre'!B58:Y58</f>
        <v>For  Fiscal Year Ending on 2025-08-31</v>
      </c>
      <c r="C42" s="1698"/>
      <c r="D42" s="1698"/>
      <c r="E42" s="1698"/>
      <c r="F42" s="1698"/>
      <c r="G42" s="1698"/>
      <c r="H42" s="1698"/>
      <c r="I42" s="1698"/>
      <c r="J42" s="1698"/>
    </row>
    <row r="43" spans="1:20" ht="334.5" customHeight="1" x14ac:dyDescent="0.2">
      <c r="B43" s="1699">
        <v>1</v>
      </c>
      <c r="C43" s="1700"/>
      <c r="D43" s="1701"/>
      <c r="E43" s="1701"/>
      <c r="F43" s="1701"/>
      <c r="G43" s="1701"/>
      <c r="H43" s="1701"/>
      <c r="I43" s="1701"/>
      <c r="J43" s="1702"/>
      <c r="K43" s="227"/>
    </row>
    <row r="44" spans="1:20" ht="80.25" customHeight="1" x14ac:dyDescent="0.2">
      <c r="B44" s="1699"/>
      <c r="C44" s="1703"/>
      <c r="D44" s="1704"/>
      <c r="E44" s="1704"/>
      <c r="F44" s="1704"/>
      <c r="G44" s="1704"/>
      <c r="H44" s="1704"/>
      <c r="I44" s="1704"/>
      <c r="J44" s="1705"/>
      <c r="K44" s="227"/>
    </row>
    <row r="45" spans="1:20" ht="409.6" customHeight="1" x14ac:dyDescent="0.2">
      <c r="A45" s="10"/>
      <c r="B45" s="226">
        <v>2</v>
      </c>
      <c r="C45" s="1706"/>
      <c r="D45" s="1707"/>
      <c r="E45" s="1707"/>
      <c r="F45" s="1707"/>
      <c r="G45" s="1707"/>
      <c r="H45" s="1707"/>
      <c r="I45" s="1707"/>
      <c r="J45" s="1708"/>
      <c r="K45" s="227"/>
    </row>
    <row r="46" spans="1:20" ht="19.5" customHeight="1" x14ac:dyDescent="0.2">
      <c r="B46" s="228"/>
      <c r="C46" s="229"/>
      <c r="D46" s="230"/>
      <c r="E46" s="230"/>
      <c r="F46" s="230"/>
      <c r="G46" s="230"/>
      <c r="H46" s="230"/>
      <c r="I46" s="230"/>
      <c r="J46" s="231"/>
    </row>
    <row r="47" spans="1:20" ht="29.25" customHeight="1" x14ac:dyDescent="0.2">
      <c r="B47" s="1689" t="s">
        <v>132</v>
      </c>
      <c r="C47" s="1690"/>
      <c r="D47" s="1691" t="str">
        <f>IF(N1=2,"Nom de l'agent aux conformites financières du CP","PC Financial Compliance Officer (Name)")</f>
        <v>PC Financial Compliance Officer (Name)</v>
      </c>
      <c r="E47" s="1691"/>
      <c r="F47" s="1691"/>
      <c r="G47" s="1691"/>
      <c r="H47" s="1689" t="s">
        <v>145</v>
      </c>
      <c r="I47" s="1692"/>
      <c r="J47" s="1690"/>
    </row>
    <row r="48" spans="1:20" ht="35.25" customHeight="1" x14ac:dyDescent="0.2">
      <c r="B48" s="1673"/>
      <c r="C48" s="1674"/>
      <c r="D48" s="1675"/>
      <c r="E48" s="1675"/>
      <c r="F48" s="1675"/>
      <c r="G48" s="1675"/>
      <c r="H48" s="1693"/>
      <c r="I48" s="1694"/>
      <c r="J48" s="1695"/>
    </row>
    <row r="49" spans="2:10" ht="14.25" customHeight="1" x14ac:dyDescent="0.2">
      <c r="B49" s="18"/>
      <c r="C49" s="18"/>
      <c r="D49" s="18"/>
      <c r="E49" s="18"/>
      <c r="F49" s="18"/>
      <c r="G49" s="18"/>
      <c r="H49" s="18"/>
      <c r="I49" s="18"/>
      <c r="J49" s="225" t="s">
        <v>147</v>
      </c>
    </row>
    <row r="51" spans="2:10" ht="20.25" customHeight="1" x14ac:dyDescent="0.2"/>
  </sheetData>
  <sheetProtection algorithmName="SHA-512" hashValue="oDN3jUvU0pt34GujeqzJ22jvZkrGrTHcwAME1IyWUg/o2p2rdYY90kgMDOsgszqoWutQCWFjsMU5R3Y7/YRGlQ==" saltValue="PVX31TcdIXsQ7WlMtc+wlA==" spinCount="100000" sheet="1" objects="1" scenarios="1" selectLockedCells="1"/>
  <mergeCells count="70">
    <mergeCell ref="B38:D38"/>
    <mergeCell ref="B39:C39"/>
    <mergeCell ref="E39:G39"/>
    <mergeCell ref="E38:F38"/>
    <mergeCell ref="G38:I38"/>
    <mergeCell ref="B48:C48"/>
    <mergeCell ref="D48:G48"/>
    <mergeCell ref="H48:J48"/>
    <mergeCell ref="B40:C40"/>
    <mergeCell ref="F40:I40"/>
    <mergeCell ref="B41:J41"/>
    <mergeCell ref="B42:J42"/>
    <mergeCell ref="B43:B44"/>
    <mergeCell ref="C43:J44"/>
    <mergeCell ref="C45:J45"/>
    <mergeCell ref="B47:C47"/>
    <mergeCell ref="D47:G47"/>
    <mergeCell ref="H47:J47"/>
    <mergeCell ref="B37:C37"/>
    <mergeCell ref="D37:G37"/>
    <mergeCell ref="H37:J37"/>
    <mergeCell ref="B29:F29"/>
    <mergeCell ref="G29:H29"/>
    <mergeCell ref="B30:I30"/>
    <mergeCell ref="B32:J32"/>
    <mergeCell ref="B33:J33"/>
    <mergeCell ref="B34:J34"/>
    <mergeCell ref="B36:C36"/>
    <mergeCell ref="D36:G36"/>
    <mergeCell ref="H36:J36"/>
    <mergeCell ref="C23:D23"/>
    <mergeCell ref="E23:G23"/>
    <mergeCell ref="H24:I24"/>
    <mergeCell ref="B26:I26"/>
    <mergeCell ref="B28:F28"/>
    <mergeCell ref="G28:H28"/>
    <mergeCell ref="H23:I23"/>
    <mergeCell ref="H21:I21"/>
    <mergeCell ref="C22:D22"/>
    <mergeCell ref="H22:I22"/>
    <mergeCell ref="C19:D19"/>
    <mergeCell ref="E19:G19"/>
    <mergeCell ref="C20:D20"/>
    <mergeCell ref="E20:G20"/>
    <mergeCell ref="C21:D21"/>
    <mergeCell ref="E21:G21"/>
    <mergeCell ref="E22:G22"/>
    <mergeCell ref="D14:G14"/>
    <mergeCell ref="D15:G15"/>
    <mergeCell ref="D16:G16"/>
    <mergeCell ref="B17:J17"/>
    <mergeCell ref="C18:D18"/>
    <mergeCell ref="E18:G18"/>
    <mergeCell ref="B16:C16"/>
    <mergeCell ref="B12:D12"/>
    <mergeCell ref="E12:G12"/>
    <mergeCell ref="H12:J12"/>
    <mergeCell ref="B13:C13"/>
    <mergeCell ref="D13:G13"/>
    <mergeCell ref="B6:J6"/>
    <mergeCell ref="B7:J7"/>
    <mergeCell ref="B8:J8"/>
    <mergeCell ref="B10:J10"/>
    <mergeCell ref="B11:C11"/>
    <mergeCell ref="F11:J11"/>
    <mergeCell ref="B1:J1"/>
    <mergeCell ref="B2:J2"/>
    <mergeCell ref="B3:E3"/>
    <mergeCell ref="B4:J4"/>
    <mergeCell ref="B5:J5"/>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formula1>0</formula1>
      <formula2>0</formula2>
    </dataValidation>
    <dataValidation allowBlank="1" showErrorMessage="1" promptTitle="message" prompt="Scroll down the list and select your appropriate jurisdiction" sqref="E12:G12">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171450</xdr:colOff>
                    <xdr:row>32</xdr:row>
                    <xdr:rowOff>885825</xdr:rowOff>
                  </from>
                  <to>
                    <xdr:col>5</xdr:col>
                    <xdr:colOff>476250</xdr:colOff>
                    <xdr:row>33</xdr:row>
                    <xdr:rowOff>247650</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bcpc</cp:lastModifiedBy>
  <cp:revision>1</cp:revision>
  <cp:lastPrinted>2024-02-17T23:12:31Z</cp:lastPrinted>
  <dcterms:created xsi:type="dcterms:W3CDTF">1997-11-22T21:54:10Z</dcterms:created>
  <dcterms:modified xsi:type="dcterms:W3CDTF">2024-08-13T21:39:02Z</dcterms:modified>
  <dc:language>en-CA</dc:language>
</cp:coreProperties>
</file>